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580" yWindow="0" windowWidth="25200" windowHeight="11760"/>
  </bookViews>
  <sheets>
    <sheet name="ADOT Matrix (1 to 2 lanes)" sheetId="16" r:id="rId1"/>
    <sheet name="ADOT Matrix (3 lanes or more)" sheetId="1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7" l="1"/>
  <c r="AQ39" i="17"/>
  <c r="AP39" i="17"/>
  <c r="AO39" i="17"/>
  <c r="AN39" i="17"/>
  <c r="AN32" i="17" s="1"/>
  <c r="AN33" i="17" s="1"/>
  <c r="AM39" i="17"/>
  <c r="AL39" i="17"/>
  <c r="AL32" i="17" s="1"/>
  <c r="AL33" i="17" s="1"/>
  <c r="AK39" i="17"/>
  <c r="AJ39" i="17"/>
  <c r="AJ32" i="17" s="1"/>
  <c r="AJ33" i="17" s="1"/>
  <c r="AI39" i="17"/>
  <c r="AH39" i="17"/>
  <c r="AH32" i="17" s="1"/>
  <c r="AH33" i="17" s="1"/>
  <c r="AG39" i="17"/>
  <c r="AF39" i="17"/>
  <c r="AF32" i="17" s="1"/>
  <c r="AF33" i="17" s="1"/>
  <c r="AE39" i="17"/>
  <c r="AD38" i="17"/>
  <c r="AQ37" i="17"/>
  <c r="AO37" i="17"/>
  <c r="AO32" i="17" s="1"/>
  <c r="AO33" i="17" s="1"/>
  <c r="AM37" i="17"/>
  <c r="AK37" i="17"/>
  <c r="AI37" i="17"/>
  <c r="AG37" i="17"/>
  <c r="AG32" i="17" s="1"/>
  <c r="AG33" i="17" s="1"/>
  <c r="AE37" i="17"/>
  <c r="AE32" i="17" s="1"/>
  <c r="O36" i="17"/>
  <c r="O33" i="17" s="1"/>
  <c r="L36" i="17"/>
  <c r="L33" i="17" s="1"/>
  <c r="AD35" i="17"/>
  <c r="AC35" i="17"/>
  <c r="Z35" i="17"/>
  <c r="X35" i="17"/>
  <c r="Z34" i="17"/>
  <c r="X34" i="17"/>
  <c r="V34" i="17"/>
  <c r="T34" i="17"/>
  <c r="R34" i="17"/>
  <c r="AR32" i="17"/>
  <c r="AP32" i="17"/>
  <c r="AP33" i="17" s="1"/>
  <c r="AD32" i="17"/>
  <c r="AC32" i="17"/>
  <c r="AC33" i="17" s="1"/>
  <c r="AB32" i="17"/>
  <c r="AB33" i="17" s="1"/>
  <c r="AA32" i="17"/>
  <c r="AA33" i="17" s="1"/>
  <c r="Z32" i="17"/>
  <c r="Z33" i="17" s="1"/>
  <c r="Y32" i="17"/>
  <c r="Y33" i="17" s="1"/>
  <c r="X32" i="17"/>
  <c r="X33" i="17" s="1"/>
  <c r="W32" i="17"/>
  <c r="W33" i="17" s="1"/>
  <c r="V32" i="17"/>
  <c r="V33" i="17" s="1"/>
  <c r="U32" i="17"/>
  <c r="U33" i="17" s="1"/>
  <c r="T32" i="17"/>
  <c r="T33" i="17" s="1"/>
  <c r="S32" i="17"/>
  <c r="S33" i="17" s="1"/>
  <c r="R32" i="17"/>
  <c r="R33" i="17" s="1"/>
  <c r="O32" i="17"/>
  <c r="Z27" i="17"/>
  <c r="X27" i="17"/>
  <c r="V27" i="17"/>
  <c r="V28" i="17" s="1"/>
  <c r="T27" i="17"/>
  <c r="T28" i="17" s="1"/>
  <c r="R27" i="17"/>
  <c r="R28" i="17" s="1"/>
  <c r="AD26" i="17"/>
  <c r="AD28" i="17" s="1"/>
  <c r="AC26" i="17"/>
  <c r="AC28" i="17" s="1"/>
  <c r="Z26" i="17"/>
  <c r="X26" i="17"/>
  <c r="AQ24" i="17"/>
  <c r="AQ28" i="17" s="1"/>
  <c r="AO24" i="17"/>
  <c r="AO28" i="17" s="1"/>
  <c r="AM24" i="17"/>
  <c r="AM28" i="17" s="1"/>
  <c r="AK24" i="17"/>
  <c r="AI24" i="17"/>
  <c r="AI28" i="17" s="1"/>
  <c r="AG24" i="17"/>
  <c r="AG28" i="17" s="1"/>
  <c r="AE24" i="17"/>
  <c r="AE28" i="17" s="1"/>
  <c r="C14" i="16"/>
  <c r="AP36" i="16"/>
  <c r="AO36" i="16"/>
  <c r="AN36" i="16"/>
  <c r="AM36" i="16"/>
  <c r="AM29" i="16" s="1"/>
  <c r="AM30" i="16" s="1"/>
  <c r="AL36" i="16"/>
  <c r="AK36" i="16"/>
  <c r="AK29" i="16" s="1"/>
  <c r="AK30" i="16" s="1"/>
  <c r="AJ36" i="16"/>
  <c r="AI36" i="16"/>
  <c r="AI29" i="16" s="1"/>
  <c r="AI30" i="16" s="1"/>
  <c r="AH36" i="16"/>
  <c r="AG36" i="16"/>
  <c r="AG29" i="16" s="1"/>
  <c r="AG30" i="16" s="1"/>
  <c r="AF36" i="16"/>
  <c r="AE36" i="16"/>
  <c r="AE29" i="16" s="1"/>
  <c r="AE30" i="16" s="1"/>
  <c r="AD36" i="16"/>
  <c r="AC35" i="16"/>
  <c r="AP34" i="16"/>
  <c r="AN34" i="16"/>
  <c r="AL34" i="16"/>
  <c r="AJ34" i="16"/>
  <c r="AH34" i="16"/>
  <c r="AF34" i="16"/>
  <c r="AD34" i="16"/>
  <c r="N33" i="16"/>
  <c r="N30" i="16" s="1"/>
  <c r="L33" i="16"/>
  <c r="L30" i="16" s="1"/>
  <c r="AC32" i="16"/>
  <c r="AB32" i="16"/>
  <c r="Y32" i="16"/>
  <c r="W32" i="16"/>
  <c r="Y31" i="16"/>
  <c r="W31" i="16"/>
  <c r="U31" i="16"/>
  <c r="S31" i="16"/>
  <c r="Q31" i="16"/>
  <c r="J6" i="16" s="1"/>
  <c r="AQ29" i="16"/>
  <c r="AO29" i="16"/>
  <c r="AO30" i="16" s="1"/>
  <c r="AC29" i="16"/>
  <c r="AB29" i="16"/>
  <c r="AB30" i="16" s="1"/>
  <c r="AA29" i="16"/>
  <c r="AA30" i="16" s="1"/>
  <c r="Z29" i="16"/>
  <c r="Z30" i="16" s="1"/>
  <c r="Y29" i="16"/>
  <c r="Y30" i="16" s="1"/>
  <c r="X29" i="16"/>
  <c r="X30" i="16" s="1"/>
  <c r="W29" i="16"/>
  <c r="W30" i="16" s="1"/>
  <c r="V29" i="16"/>
  <c r="V30" i="16" s="1"/>
  <c r="U29" i="16"/>
  <c r="U30" i="16" s="1"/>
  <c r="T29" i="16"/>
  <c r="T30" i="16" s="1"/>
  <c r="S29" i="16"/>
  <c r="S30" i="16" s="1"/>
  <c r="R29" i="16"/>
  <c r="R30" i="16" s="1"/>
  <c r="Q29" i="16"/>
  <c r="N29" i="16"/>
  <c r="X27" i="16"/>
  <c r="Z26" i="16"/>
  <c r="X26" i="16"/>
  <c r="V26" i="16"/>
  <c r="V27" i="16" s="1"/>
  <c r="T26" i="16"/>
  <c r="T27" i="16" s="1"/>
  <c r="R26" i="16"/>
  <c r="R27" i="16" s="1"/>
  <c r="P26" i="16"/>
  <c r="P27" i="16" s="1"/>
  <c r="AC25" i="16"/>
  <c r="AC27" i="16" s="1"/>
  <c r="AB25" i="16"/>
  <c r="Z25" i="16"/>
  <c r="Z27" i="16" s="1"/>
  <c r="X25" i="16"/>
  <c r="N24" i="16"/>
  <c r="N27" i="16" s="1"/>
  <c r="K24" i="16"/>
  <c r="K27" i="16" s="1"/>
  <c r="AP23" i="16"/>
  <c r="AP27" i="16" s="1"/>
  <c r="AN23" i="16"/>
  <c r="AN27" i="16" s="1"/>
  <c r="AL23" i="16"/>
  <c r="AL27" i="16" s="1"/>
  <c r="AJ23" i="16"/>
  <c r="AJ27" i="16" s="1"/>
  <c r="AH23" i="16"/>
  <c r="AH27" i="16" s="1"/>
  <c r="AF23" i="16"/>
  <c r="AF27" i="16" s="1"/>
  <c r="AD23" i="16"/>
  <c r="AD27" i="16" s="1"/>
  <c r="AF29" i="16" l="1"/>
  <c r="AF30" i="16" s="1"/>
  <c r="AD29" i="16"/>
  <c r="AD30" i="16" s="1"/>
  <c r="K6" i="16"/>
  <c r="AC30" i="16"/>
  <c r="N6" i="16" s="1"/>
  <c r="AJ29" i="16"/>
  <c r="AJ30" i="16" s="1"/>
  <c r="AM32" i="17"/>
  <c r="AM33" i="17" s="1"/>
  <c r="AQ32" i="17"/>
  <c r="AQ33" i="17" s="1"/>
  <c r="AK32" i="17"/>
  <c r="AK33" i="17" s="1"/>
  <c r="AI32" i="17"/>
  <c r="AI33" i="17" s="1"/>
  <c r="AD33" i="17"/>
  <c r="O6" i="17" s="1"/>
  <c r="X28" i="17"/>
  <c r="M6" i="17"/>
  <c r="AE33" i="17"/>
  <c r="AK28" i="17"/>
  <c r="Z28" i="17"/>
  <c r="K6" i="17" s="1"/>
  <c r="AH29" i="16"/>
  <c r="AH30" i="16" s="1"/>
  <c r="AP29" i="16"/>
  <c r="AP30" i="16" s="1"/>
  <c r="AL29" i="16"/>
  <c r="AL30" i="16" s="1"/>
  <c r="AN29" i="16"/>
  <c r="AN30" i="16" s="1"/>
  <c r="Q30" i="16"/>
  <c r="J6" i="17" l="1"/>
  <c r="L6" i="17"/>
  <c r="L6" i="16"/>
  <c r="I6" i="16"/>
</calcChain>
</file>

<file path=xl/sharedStrings.xml><?xml version="1.0" encoding="utf-8"?>
<sst xmlns="http://schemas.openxmlformats.org/spreadsheetml/2006/main" count="74" uniqueCount="35">
  <si>
    <t>CCTV</t>
  </si>
  <si>
    <t>GPS</t>
  </si>
  <si>
    <t>WZ Start</t>
  </si>
  <si>
    <t>Beginning</t>
  </si>
  <si>
    <t>Taper</t>
  </si>
  <si>
    <t>Number of Miles After Start of Work Zone</t>
  </si>
  <si>
    <t>Number of Miles Before Start of Work Zone</t>
  </si>
  <si>
    <t>Detection</t>
  </si>
  <si>
    <t>Extra Detectors</t>
  </si>
  <si>
    <t>Summary of Devices</t>
  </si>
  <si>
    <t>Detectors</t>
  </si>
  <si>
    <t>VMS: Travel Delay Times</t>
  </si>
  <si>
    <t>VMS: Dynamic Lane Merge</t>
  </si>
  <si>
    <t>VMS: Queue Warning</t>
  </si>
  <si>
    <t>GPS: Location</t>
  </si>
  <si>
    <t>CCTV: Camera Image</t>
  </si>
  <si>
    <t>VSL: Variable Speed Limit</t>
  </si>
  <si>
    <t xml:space="preserve">Work Zone Length (Miles) </t>
  </si>
  <si>
    <t xml:space="preserve">Data (Y/N) </t>
  </si>
  <si>
    <t xml:space="preserve">Queue Length (Miles) </t>
  </si>
  <si>
    <t xml:space="preserve">Traffic Monitor (Y/N) </t>
  </si>
  <si>
    <t xml:space="preserve">Variable Speed (Y/N) </t>
  </si>
  <si>
    <t xml:space="preserve">Lane Merge (Y/N) </t>
  </si>
  <si>
    <t xml:space="preserve">Travel Delay (Y/N) </t>
  </si>
  <si>
    <t>INSTRUCTIONS:</t>
  </si>
  <si>
    <t>- Applies to non-signalized ADOT owned facilities.</t>
  </si>
  <si>
    <t>- Use this diagram for 1 and 2 lane roadways in 1 direction.</t>
  </si>
  <si>
    <t>- VMS-2 means VMS sign has two message phases.</t>
  </si>
  <si>
    <t xml:space="preserve">- Use this diagram for 3 lane roadways in 1 direction or </t>
  </si>
  <si>
    <t>- Shoulder width must be 10ft or more to accommodate SWZ devices.</t>
  </si>
  <si>
    <t xml:space="preserve">       when high truck volumes is greater than 15%.</t>
  </si>
  <si>
    <t>- VMS-2 means VMS sign at that location has two message phases.</t>
  </si>
  <si>
    <t>Variable Message Sign</t>
  </si>
  <si>
    <t>Variable Speed Limit</t>
  </si>
  <si>
    <t>Enter Workzone Parameters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</si>
</sst>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darkTrellis">
        <bgColor auto="1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Dashed">
        <color rgb="FFFFFF00"/>
      </bottom>
      <diagonal/>
    </border>
    <border>
      <left style="double">
        <color indexed="64"/>
      </left>
      <right/>
      <top/>
      <bottom style="mediumDashed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double">
        <color auto="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34998626667073579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ck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double">
        <color auto="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ck">
        <color auto="1"/>
      </top>
      <bottom style="mediumDashed">
        <color rgb="FFFFFF00"/>
      </bottom>
      <diagonal/>
    </border>
    <border>
      <left style="double">
        <color indexed="64"/>
      </left>
      <right/>
      <top style="thick">
        <color auto="1"/>
      </top>
      <bottom style="mediumDashed">
        <color rgb="FFFFFF00"/>
      </bottom>
      <diagonal/>
    </border>
    <border>
      <left/>
      <right/>
      <top style="mediumDashed">
        <color rgb="FFFFFF00"/>
      </top>
      <bottom style="mediumDashed">
        <color rgb="FFFFFF00"/>
      </bottom>
      <diagonal/>
    </border>
    <border>
      <left style="double">
        <color indexed="64"/>
      </left>
      <right/>
      <top style="mediumDashed">
        <color rgb="FFFFFF00"/>
      </top>
      <bottom style="mediumDashed">
        <color rgb="FFFFFF00"/>
      </bottom>
      <diagonal/>
    </border>
    <border>
      <left style="double">
        <color indexed="64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1" fillId="0" borderId="0" xfId="0" applyFont="1" applyProtection="1"/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2" xfId="0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center"/>
    </xf>
    <xf numFmtId="0" fontId="1" fillId="0" borderId="17" xfId="0" applyFont="1" applyFill="1" applyBorder="1" applyProtection="1"/>
    <xf numFmtId="0" fontId="0" fillId="0" borderId="18" xfId="0" applyFill="1" applyBorder="1" applyProtection="1"/>
    <xf numFmtId="0" fontId="0" fillId="0" borderId="18" xfId="0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left"/>
    </xf>
    <xf numFmtId="0" fontId="0" fillId="0" borderId="0" xfId="0" applyBorder="1" applyProtection="1"/>
    <xf numFmtId="0" fontId="0" fillId="2" borderId="21" xfId="0" applyFont="1" applyFill="1" applyBorder="1" applyProtection="1"/>
    <xf numFmtId="0" fontId="0" fillId="2" borderId="22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ont="1" applyFill="1" applyProtection="1"/>
    <xf numFmtId="0" fontId="0" fillId="2" borderId="0" xfId="0" applyFont="1" applyFill="1" applyAlignment="1" applyProtection="1">
      <alignment horizontal="center"/>
    </xf>
    <xf numFmtId="0" fontId="0" fillId="2" borderId="1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1" fillId="0" borderId="14" xfId="0" applyFont="1" applyBorder="1" applyProtection="1"/>
    <xf numFmtId="0" fontId="0" fillId="0" borderId="15" xfId="0" applyBorder="1" applyProtection="1"/>
    <xf numFmtId="0" fontId="0" fillId="0" borderId="15" xfId="0" applyBorder="1" applyAlignment="1" applyProtection="1">
      <alignment horizontal="center"/>
    </xf>
    <xf numFmtId="0" fontId="0" fillId="2" borderId="36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left"/>
    </xf>
    <xf numFmtId="0" fontId="0" fillId="0" borderId="12" xfId="0" applyFont="1" applyBorder="1" applyAlignment="1" applyProtection="1">
      <alignment horizontal="left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/>
    <xf numFmtId="0" fontId="1" fillId="0" borderId="0" xfId="0" applyFont="1" applyBorder="1" applyProtection="1"/>
    <xf numFmtId="1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Fill="1" applyBorder="1" applyProtection="1"/>
    <xf numFmtId="0" fontId="1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7" xfId="0" applyFont="1" applyBorder="1" applyProtection="1"/>
    <xf numFmtId="0" fontId="0" fillId="0" borderId="8" xfId="0" applyBorder="1" applyProtection="1"/>
    <xf numFmtId="0" fontId="0" fillId="0" borderId="9" xfId="0" applyBorder="1" applyProtection="1"/>
    <xf numFmtId="0" fontId="1" fillId="0" borderId="32" xfId="0" quotePrefix="1" applyFont="1" applyBorder="1" applyProtection="1"/>
    <xf numFmtId="0" fontId="0" fillId="0" borderId="33" xfId="0" applyBorder="1" applyProtection="1"/>
    <xf numFmtId="0" fontId="1" fillId="0" borderId="34" xfId="0" quotePrefix="1" applyFont="1" applyBorder="1" applyProtection="1"/>
    <xf numFmtId="0" fontId="0" fillId="0" borderId="35" xfId="0" applyBorder="1" applyProtection="1"/>
    <xf numFmtId="0" fontId="0" fillId="0" borderId="31" xfId="0" applyBorder="1" applyProtection="1"/>
    <xf numFmtId="0" fontId="1" fillId="0" borderId="0" xfId="0" quotePrefix="1" applyFont="1" applyBorder="1" applyProtection="1"/>
    <xf numFmtId="0" fontId="1" fillId="0" borderId="2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" fontId="0" fillId="3" borderId="26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</xf>
    <xf numFmtId="0" fontId="0" fillId="4" borderId="16" xfId="0" applyFont="1" applyFill="1" applyBorder="1" applyProtection="1"/>
    <xf numFmtId="0" fontId="0" fillId="4" borderId="25" xfId="0" applyFont="1" applyFill="1" applyBorder="1" applyProtection="1"/>
    <xf numFmtId="0" fontId="0" fillId="2" borderId="2" xfId="0" applyFont="1" applyFill="1" applyBorder="1" applyProtection="1"/>
    <xf numFmtId="0" fontId="0" fillId="2" borderId="3" xfId="0" applyFont="1" applyFill="1" applyBorder="1" applyProtection="1"/>
    <xf numFmtId="0" fontId="0" fillId="2" borderId="23" xfId="0" applyFont="1" applyFill="1" applyBorder="1" applyProtection="1"/>
    <xf numFmtId="0" fontId="0" fillId="2" borderId="24" xfId="0" applyFont="1" applyFill="1" applyBorder="1" applyProtection="1"/>
    <xf numFmtId="0" fontId="0" fillId="2" borderId="13" xfId="0" applyFill="1" applyBorder="1" applyAlignment="1" applyProtection="1">
      <alignment horizontal="center"/>
    </xf>
    <xf numFmtId="0" fontId="3" fillId="0" borderId="0" xfId="0" applyFont="1" applyProtection="1"/>
    <xf numFmtId="0" fontId="1" fillId="0" borderId="32" xfId="0" applyFont="1" applyBorder="1" applyProtection="1"/>
    <xf numFmtId="0" fontId="1" fillId="0" borderId="4" xfId="0" quotePrefix="1" applyFont="1" applyBorder="1" applyAlignment="1" applyProtection="1">
      <alignment horizontal="center"/>
    </xf>
    <xf numFmtId="0" fontId="1" fillId="0" borderId="5" xfId="0" quotePrefix="1" applyFont="1" applyBorder="1" applyAlignment="1" applyProtection="1">
      <alignment horizontal="center"/>
    </xf>
    <xf numFmtId="0" fontId="1" fillId="0" borderId="6" xfId="0" quotePrefix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1311088</xdr:colOff>
      <xdr:row>28</xdr:row>
      <xdr:rowOff>89647</xdr:rowOff>
    </xdr:from>
    <xdr:to>
      <xdr:col>10</xdr:col>
      <xdr:colOff>78442</xdr:colOff>
      <xdr:row>28</xdr:row>
      <xdr:rowOff>98454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BCA9D8CB-9F61-4CB5-93BD-26AE556818BA}"/>
            </a:ext>
          </a:extLst>
        </xdr:cNvPr>
        <xdr:cNvCxnSpPr/>
      </xdr:nvCxnSpPr>
      <xdr:spPr>
        <a:xfrm>
          <a:off x="1311088" y="1870822"/>
          <a:ext cx="1481979" cy="8807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1311088</xdr:colOff>
      <xdr:row>27</xdr:row>
      <xdr:rowOff>94128</xdr:rowOff>
    </xdr:from>
    <xdr:to>
      <xdr:col>10</xdr:col>
      <xdr:colOff>78442</xdr:colOff>
      <xdr:row>27</xdr:row>
      <xdr:rowOff>102935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1A2C5A18-8F07-4440-A36F-F0DD334D0535}"/>
            </a:ext>
          </a:extLst>
        </xdr:cNvPr>
        <xdr:cNvCxnSpPr/>
      </xdr:nvCxnSpPr>
      <xdr:spPr>
        <a:xfrm>
          <a:off x="1311088" y="1665753"/>
          <a:ext cx="1481979" cy="8807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1311088</xdr:colOff>
      <xdr:row>31</xdr:row>
      <xdr:rowOff>89647</xdr:rowOff>
    </xdr:from>
    <xdr:to>
      <xdr:col>11</xdr:col>
      <xdr:colOff>78442</xdr:colOff>
      <xdr:row>31</xdr:row>
      <xdr:rowOff>98454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966A36C8-AD10-4CB5-AADF-E6B2B7EC52B4}"/>
            </a:ext>
          </a:extLst>
        </xdr:cNvPr>
        <xdr:cNvCxnSpPr/>
      </xdr:nvCxnSpPr>
      <xdr:spPr>
        <a:xfrm>
          <a:off x="1311088" y="3213847"/>
          <a:ext cx="1481979" cy="8807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1311088</xdr:colOff>
      <xdr:row>29</xdr:row>
      <xdr:rowOff>94128</xdr:rowOff>
    </xdr:from>
    <xdr:to>
      <xdr:col>11</xdr:col>
      <xdr:colOff>78442</xdr:colOff>
      <xdr:row>29</xdr:row>
      <xdr:rowOff>102935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B8DF312E-0408-492A-90F5-11DFCD7C0B2B}"/>
            </a:ext>
          </a:extLst>
        </xdr:cNvPr>
        <xdr:cNvCxnSpPr/>
      </xdr:nvCxnSpPr>
      <xdr:spPr>
        <a:xfrm>
          <a:off x="1311088" y="2818278"/>
          <a:ext cx="1481979" cy="8807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1311088</xdr:colOff>
      <xdr:row>30</xdr:row>
      <xdr:rowOff>87405</xdr:rowOff>
    </xdr:from>
    <xdr:to>
      <xdr:col>11</xdr:col>
      <xdr:colOff>78442</xdr:colOff>
      <xdr:row>30</xdr:row>
      <xdr:rowOff>96212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74E206BA-A6AE-46B0-AFEA-8FA38D3B4952}"/>
            </a:ext>
          </a:extLst>
        </xdr:cNvPr>
        <xdr:cNvCxnSpPr/>
      </xdr:nvCxnSpPr>
      <xdr:spPr>
        <a:xfrm>
          <a:off x="1311088" y="3011580"/>
          <a:ext cx="1481979" cy="8807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Y62"/>
  <sheetViews>
    <sheetView showGridLines="0" tabSelected="1" zoomScale="85" zoomScaleNormal="85" zoomScalePageLayoutView="85" workbookViewId="0">
      <selection activeCell="B21" sqref="B21"/>
    </sheetView>
  </sheetViews>
  <sheetFormatPr defaultColWidth="8.85546875" defaultRowHeight="15" x14ac:dyDescent="0.25"/>
  <cols>
    <col min="1" max="1" width="1.28515625" style="1" customWidth="1"/>
    <col min="2" max="2" width="7.140625" style="1" customWidth="1"/>
    <col min="3" max="7" width="8.85546875" style="1"/>
    <col min="8" max="8" width="23" style="1" customWidth="1"/>
    <col min="9" max="10" width="8.85546875" style="1"/>
    <col min="11" max="11" width="8.85546875" style="1" customWidth="1"/>
    <col min="12" max="13" width="5.140625" style="1" customWidth="1"/>
    <col min="14" max="14" width="8.85546875" style="1" customWidth="1"/>
    <col min="15" max="22" width="4.85546875" style="1" customWidth="1"/>
    <col min="23" max="23" width="6.7109375" style="1" bestFit="1" customWidth="1"/>
    <col min="24" max="24" width="4.85546875" style="1" customWidth="1"/>
    <col min="25" max="25" width="6.7109375" style="1" bestFit="1" customWidth="1"/>
    <col min="26" max="43" width="4.85546875" style="1" customWidth="1"/>
    <col min="44" max="48" width="11.42578125" style="1" customWidth="1"/>
    <col min="49" max="51" width="5" style="1" customWidth="1"/>
    <col min="52" max="16384" width="8.85546875" style="1"/>
  </cols>
  <sheetData>
    <row r="1" spans="2:42" ht="9" customHeight="1" thickBot="1" x14ac:dyDescent="0.3"/>
    <row r="2" spans="2:42" ht="15.75" thickBot="1" x14ac:dyDescent="0.3">
      <c r="B2" s="56" t="s">
        <v>24</v>
      </c>
      <c r="C2" s="57"/>
      <c r="D2" s="57"/>
      <c r="E2" s="57"/>
      <c r="F2" s="57"/>
      <c r="G2" s="58"/>
      <c r="I2" s="84" t="s">
        <v>9</v>
      </c>
      <c r="J2" s="85"/>
      <c r="K2" s="85"/>
      <c r="L2" s="85"/>
      <c r="M2" s="85"/>
      <c r="N2" s="86"/>
    </row>
    <row r="3" spans="2:42" x14ac:dyDescent="0.25">
      <c r="B3" s="59" t="s">
        <v>25</v>
      </c>
      <c r="C3" s="25"/>
      <c r="D3" s="25"/>
      <c r="E3" s="25"/>
      <c r="F3" s="25"/>
      <c r="G3" s="60"/>
      <c r="I3" s="87" t="s">
        <v>10</v>
      </c>
      <c r="J3" s="90" t="s">
        <v>32</v>
      </c>
      <c r="K3" s="90" t="s">
        <v>33</v>
      </c>
      <c r="L3" s="93" t="s">
        <v>1</v>
      </c>
      <c r="M3" s="94"/>
      <c r="N3" s="87" t="s">
        <v>0</v>
      </c>
    </row>
    <row r="4" spans="2:42" x14ac:dyDescent="0.25">
      <c r="B4" s="59" t="s">
        <v>26</v>
      </c>
      <c r="C4" s="25"/>
      <c r="D4" s="25"/>
      <c r="E4" s="25"/>
      <c r="F4" s="25"/>
      <c r="G4" s="60"/>
      <c r="I4" s="88"/>
      <c r="J4" s="91"/>
      <c r="K4" s="91"/>
      <c r="L4" s="95"/>
      <c r="M4" s="96"/>
      <c r="N4" s="88"/>
    </row>
    <row r="5" spans="2:42" ht="15.75" thickBot="1" x14ac:dyDescent="0.3">
      <c r="B5" s="61" t="s">
        <v>27</v>
      </c>
      <c r="C5" s="62"/>
      <c r="D5" s="62"/>
      <c r="E5" s="62"/>
      <c r="F5" s="62"/>
      <c r="G5" s="63"/>
      <c r="I5" s="89"/>
      <c r="J5" s="92"/>
      <c r="K5" s="92"/>
      <c r="L5" s="97"/>
      <c r="M5" s="98"/>
      <c r="N5" s="89"/>
    </row>
    <row r="6" spans="2:42" ht="15.75" thickBot="1" x14ac:dyDescent="0.3">
      <c r="B6" s="64"/>
      <c r="C6" s="25"/>
      <c r="D6" s="25"/>
      <c r="E6" s="25"/>
      <c r="F6" s="25"/>
      <c r="G6" s="25"/>
      <c r="I6" s="65">
        <f>COUNTIF(N29:AP29,"D")</f>
        <v>0</v>
      </c>
      <c r="J6" s="65">
        <f>COUNTIF(K31:AC32:L33:N33,"VMS")</f>
        <v>0</v>
      </c>
      <c r="K6" s="65">
        <f>COUNTIF(AD34:AP34,"VSL")</f>
        <v>0</v>
      </c>
      <c r="L6" s="81">
        <f>COUNTIF(L30:AP30,"X")</f>
        <v>0</v>
      </c>
      <c r="M6" s="83"/>
      <c r="N6" s="65">
        <f>COUNTIF(AC23:AC35,"CCTV")</f>
        <v>0</v>
      </c>
    </row>
    <row r="7" spans="2:42" ht="15.75" thickBot="1" x14ac:dyDescent="0.3">
      <c r="B7" s="78" t="s">
        <v>34</v>
      </c>
      <c r="C7" s="79"/>
      <c r="D7" s="79"/>
      <c r="E7" s="80"/>
      <c r="F7" s="25"/>
      <c r="G7" s="25"/>
      <c r="I7" s="66"/>
      <c r="J7" s="66"/>
      <c r="K7" s="66"/>
      <c r="L7" s="66"/>
      <c r="M7" s="66"/>
      <c r="N7" s="66"/>
    </row>
    <row r="8" spans="2:42" ht="15.75" thickBot="1" x14ac:dyDescent="0.3">
      <c r="B8" s="64"/>
      <c r="C8" s="25"/>
      <c r="D8" s="25"/>
      <c r="E8" s="25"/>
      <c r="F8" s="25"/>
      <c r="G8" s="25"/>
      <c r="I8" s="66"/>
      <c r="J8" s="66"/>
      <c r="K8" s="66"/>
      <c r="L8" s="66"/>
      <c r="M8" s="66"/>
      <c r="N8" s="66"/>
    </row>
    <row r="9" spans="2:42" ht="15.75" thickBot="1" x14ac:dyDescent="0.3">
      <c r="B9" s="67"/>
      <c r="C9" s="49" t="s">
        <v>17</v>
      </c>
    </row>
    <row r="10" spans="2:42" ht="15.75" thickBot="1" x14ac:dyDescent="0.3">
      <c r="B10" s="47"/>
      <c r="C10" s="49"/>
    </row>
    <row r="11" spans="2:42" ht="15.75" thickBot="1" x14ac:dyDescent="0.3">
      <c r="B11" s="67"/>
      <c r="C11" s="49" t="s">
        <v>18</v>
      </c>
    </row>
    <row r="12" spans="2:42" ht="15.75" thickBot="1" x14ac:dyDescent="0.3">
      <c r="C12" s="50"/>
    </row>
    <row r="13" spans="2:42" ht="15.75" thickBot="1" x14ac:dyDescent="0.3">
      <c r="B13" s="67"/>
      <c r="C13" s="49" t="s">
        <v>19</v>
      </c>
    </row>
    <row r="14" spans="2:42" ht="15.75" thickBot="1" x14ac:dyDescent="0.3">
      <c r="B14" s="2"/>
      <c r="C14" s="55" t="str">
        <f>IF(B13&gt;=6,"Queueing beyond 6 miles is not acceptable, consider revised traffic control remediation.","")</f>
        <v/>
      </c>
    </row>
    <row r="15" spans="2:42" ht="15.75" thickBot="1" x14ac:dyDescent="0.3">
      <c r="B15" s="67"/>
      <c r="C15" s="54" t="s">
        <v>20</v>
      </c>
    </row>
    <row r="16" spans="2:42" ht="15.75" thickBot="1" x14ac:dyDescent="0.3">
      <c r="B16" s="2"/>
      <c r="C16" s="50"/>
      <c r="P16" s="81" t="s">
        <v>6</v>
      </c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81" t="s">
        <v>5</v>
      </c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3"/>
    </row>
    <row r="17" spans="2:48" ht="15" customHeight="1" thickBot="1" x14ac:dyDescent="0.3">
      <c r="B17" s="67"/>
      <c r="C17" s="49" t="s">
        <v>21</v>
      </c>
    </row>
    <row r="18" spans="2:48" ht="15.75" thickBot="1" x14ac:dyDescent="0.3">
      <c r="B18" s="28"/>
      <c r="C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3" t="s">
        <v>2</v>
      </c>
    </row>
    <row r="19" spans="2:48" ht="15.75" thickBot="1" x14ac:dyDescent="0.3">
      <c r="B19" s="67"/>
      <c r="C19" s="49" t="s">
        <v>22</v>
      </c>
      <c r="AC19" s="52" t="s">
        <v>3</v>
      </c>
    </row>
    <row r="20" spans="2:48" ht="15.75" thickBot="1" x14ac:dyDescent="0.3">
      <c r="B20" s="2"/>
      <c r="C20" s="50"/>
      <c r="J20" s="2"/>
      <c r="K20" s="2"/>
      <c r="L20" s="2"/>
      <c r="M20" s="2"/>
      <c r="N20" s="2"/>
      <c r="O20" s="2"/>
      <c r="P20" s="51"/>
      <c r="Q20" s="51"/>
      <c r="R20" s="51"/>
      <c r="S20" s="51"/>
      <c r="T20" s="51"/>
      <c r="U20" s="51"/>
      <c r="V20" s="45"/>
      <c r="W20" s="45"/>
      <c r="X20" s="45"/>
      <c r="Y20" s="45"/>
      <c r="Z20" s="45"/>
      <c r="AA20" s="45"/>
      <c r="AB20" s="45"/>
      <c r="AC20" s="52" t="s">
        <v>4</v>
      </c>
    </row>
    <row r="21" spans="2:48" ht="15.75" thickBot="1" x14ac:dyDescent="0.3">
      <c r="B21" s="67"/>
      <c r="C21" s="49" t="s">
        <v>23</v>
      </c>
      <c r="J21" s="2"/>
      <c r="K21" s="2"/>
      <c r="L21" s="2"/>
      <c r="M21" s="2"/>
      <c r="N21" s="2"/>
      <c r="O21" s="2"/>
      <c r="P21" s="3">
        <v>6</v>
      </c>
      <c r="Q21" s="3">
        <v>5.5</v>
      </c>
      <c r="R21" s="3">
        <v>5</v>
      </c>
      <c r="S21" s="3">
        <v>4.5</v>
      </c>
      <c r="T21" s="3">
        <v>4</v>
      </c>
      <c r="U21" s="3">
        <v>3.5</v>
      </c>
      <c r="V21" s="3">
        <v>3</v>
      </c>
      <c r="W21" s="3">
        <v>2.5</v>
      </c>
      <c r="X21" s="3">
        <v>2</v>
      </c>
      <c r="Y21" s="3">
        <v>1.5</v>
      </c>
      <c r="Z21" s="3">
        <v>1</v>
      </c>
      <c r="AA21" s="3">
        <v>0.5</v>
      </c>
      <c r="AB21" s="3">
        <v>0.25</v>
      </c>
      <c r="AC21" s="4">
        <v>0.5</v>
      </c>
      <c r="AD21" s="5">
        <v>1</v>
      </c>
      <c r="AE21" s="5">
        <v>1.5</v>
      </c>
      <c r="AF21" s="5">
        <v>2</v>
      </c>
      <c r="AG21" s="5">
        <v>2.5</v>
      </c>
      <c r="AH21" s="5">
        <v>3</v>
      </c>
      <c r="AI21" s="5">
        <v>3.5</v>
      </c>
      <c r="AJ21" s="5">
        <v>4</v>
      </c>
      <c r="AK21" s="5">
        <v>4.5</v>
      </c>
      <c r="AL21" s="5">
        <v>5</v>
      </c>
      <c r="AM21" s="5">
        <v>5.5</v>
      </c>
      <c r="AN21" s="5">
        <v>6</v>
      </c>
      <c r="AO21" s="3">
        <v>6.5</v>
      </c>
      <c r="AP21" s="3">
        <v>7</v>
      </c>
    </row>
    <row r="22" spans="2:48" ht="15.75" thickBot="1" x14ac:dyDescent="0.3">
      <c r="J22" s="2"/>
      <c r="K22" s="2"/>
      <c r="L22" s="2"/>
      <c r="M22" s="2"/>
      <c r="N22" s="2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3"/>
      <c r="AP22" s="3"/>
    </row>
    <row r="23" spans="2:48" s="6" customFormat="1" ht="15.75" hidden="1" thickBot="1" x14ac:dyDescent="0.3">
      <c r="H23" s="7" t="s">
        <v>16</v>
      </c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0"/>
      <c r="AC23" s="11"/>
      <c r="AD23" s="9" t="str">
        <f>IF(AND($B$17="Y", $B$9&gt;=1),"VSL","")</f>
        <v/>
      </c>
      <c r="AE23" s="9"/>
      <c r="AF23" s="9" t="str">
        <f>IF(AND($B$17="Y", $B$9&gt;=2),"VSL","")</f>
        <v/>
      </c>
      <c r="AG23" s="9"/>
      <c r="AH23" s="9" t="str">
        <f>IF(AND($B$17="Y", $B$9&gt;=3),"VSL","")</f>
        <v/>
      </c>
      <c r="AI23" s="9"/>
      <c r="AJ23" s="9" t="str">
        <f>IF(AND($B$17="Y", $B$9&gt;=4),"VSL","")</f>
        <v/>
      </c>
      <c r="AK23" s="9"/>
      <c r="AL23" s="9" t="str">
        <f>IF(AND($B$17="Y", $B$9&gt;=5),"VSL","")</f>
        <v/>
      </c>
      <c r="AM23" s="9"/>
      <c r="AN23" s="9" t="str">
        <f>IF(AND($B$17="Y", $B$9&gt;=6),"VSL","")</f>
        <v/>
      </c>
      <c r="AO23" s="9"/>
      <c r="AP23" s="9" t="str">
        <f>IF(AND($B$17="Y", $B$9&gt;=7),"VSL","")</f>
        <v/>
      </c>
      <c r="AR23" s="1"/>
      <c r="AS23" s="1"/>
      <c r="AT23" s="1"/>
      <c r="AU23" s="1"/>
      <c r="AV23" s="1"/>
    </row>
    <row r="24" spans="2:48" ht="15.75" hidden="1" thickBot="1" x14ac:dyDescent="0.3">
      <c r="H24" s="12" t="s">
        <v>11</v>
      </c>
      <c r="J24" s="2"/>
      <c r="K24" s="13" t="str">
        <f>IF(B21="Y","VMS","")</f>
        <v/>
      </c>
      <c r="L24" s="9"/>
      <c r="M24" s="9"/>
      <c r="N24" s="13" t="str">
        <f>IF(B21="Y","VMS","")</f>
        <v/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/>
      <c r="AC24" s="15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R24" s="6"/>
      <c r="AS24" s="6"/>
      <c r="AT24" s="6"/>
      <c r="AU24" s="6"/>
      <c r="AV24" s="6"/>
    </row>
    <row r="25" spans="2:48" ht="15.75" hidden="1" thickBot="1" x14ac:dyDescent="0.3">
      <c r="H25" s="12" t="s">
        <v>12</v>
      </c>
      <c r="J25" s="2"/>
      <c r="K25" s="13"/>
      <c r="L25" s="9"/>
      <c r="M25" s="9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 t="str">
        <f>IF(B19="Y","VMS","")</f>
        <v/>
      </c>
      <c r="Y25" s="13"/>
      <c r="Z25" s="13" t="str">
        <f>IF(B19="Y","VMS","")</f>
        <v/>
      </c>
      <c r="AA25" s="13"/>
      <c r="AB25" s="14" t="str">
        <f>IF(B19="Y","VMS","")</f>
        <v/>
      </c>
      <c r="AC25" s="16" t="str">
        <f>IF(B19="Y","VMS","")</f>
        <v/>
      </c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2:48" s="6" customFormat="1" ht="15.75" hidden="1" thickBot="1" x14ac:dyDescent="0.3">
      <c r="H26" s="12" t="s">
        <v>13</v>
      </c>
      <c r="I26" s="1"/>
      <c r="J26" s="2"/>
      <c r="K26" s="13"/>
      <c r="L26" s="9"/>
      <c r="M26" s="9"/>
      <c r="N26" s="13"/>
      <c r="O26" s="13"/>
      <c r="P26" s="17" t="str">
        <f>IF(B13&gt;=6,"VMS","")</f>
        <v/>
      </c>
      <c r="Q26" s="13"/>
      <c r="R26" s="13" t="str">
        <f>IF(B13&gt;=5,"VMS","")</f>
        <v/>
      </c>
      <c r="S26" s="13"/>
      <c r="T26" s="13" t="str">
        <f>IF(B13&gt;=4,"VMS","")</f>
        <v/>
      </c>
      <c r="U26" s="13"/>
      <c r="V26" s="13" t="str">
        <f>IF(B13&gt;=3,"VMS","")</f>
        <v/>
      </c>
      <c r="W26" s="13"/>
      <c r="X26" s="13" t="str">
        <f>IF(B13&gt;=2,"VMS","")</f>
        <v/>
      </c>
      <c r="Y26" s="13"/>
      <c r="Z26" s="13" t="str">
        <f>IF(B13&gt;=1,"VMS","")</f>
        <v/>
      </c>
      <c r="AA26" s="13"/>
      <c r="AB26" s="14"/>
      <c r="AC26" s="15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"/>
      <c r="AR26" s="1"/>
      <c r="AS26" s="1"/>
      <c r="AT26" s="1"/>
      <c r="AU26" s="1"/>
      <c r="AV26" s="1"/>
    </row>
    <row r="27" spans="2:48" ht="15.75" hidden="1" thickBot="1" x14ac:dyDescent="0.3">
      <c r="H27" s="18" t="s">
        <v>14</v>
      </c>
      <c r="I27" s="19"/>
      <c r="J27" s="20"/>
      <c r="K27" s="21" t="str">
        <f>IF(K24="VMS","X","")</f>
        <v/>
      </c>
      <c r="L27" s="22"/>
      <c r="M27" s="22"/>
      <c r="N27" s="21" t="str">
        <f>IF(N24="VMS","X","")</f>
        <v/>
      </c>
      <c r="O27" s="21"/>
      <c r="P27" s="21" t="str">
        <f>IF(P26="VMS","X","")</f>
        <v/>
      </c>
      <c r="Q27" s="21"/>
      <c r="R27" s="21" t="str">
        <f>IF(R26="VMS","X","")</f>
        <v/>
      </c>
      <c r="S27" s="21"/>
      <c r="T27" s="21" t="str">
        <f>IF(T26="VMS","X","")</f>
        <v/>
      </c>
      <c r="U27" s="21"/>
      <c r="V27" s="21" t="str">
        <f>IF(V26="VMS","X","")</f>
        <v/>
      </c>
      <c r="W27" s="21"/>
      <c r="X27" s="23" t="str">
        <f>IF(B19="Y","X",IF(B13&gt;=2,"X",""))</f>
        <v/>
      </c>
      <c r="Y27" s="23"/>
      <c r="Z27" s="23" t="str">
        <f>IF(OR(B13&gt;=1,Z25="VMS"),"X","")</f>
        <v/>
      </c>
      <c r="AA27" s="21"/>
      <c r="AB27" s="23"/>
      <c r="AC27" s="24" t="str">
        <f>IF(AC25="VMS","X","")</f>
        <v/>
      </c>
      <c r="AD27" s="23" t="str">
        <f>IF(AD23="VSL","X","")</f>
        <v/>
      </c>
      <c r="AE27" s="23"/>
      <c r="AF27" s="23" t="str">
        <f>IF(AF23="VSL","X","")</f>
        <v/>
      </c>
      <c r="AG27" s="23"/>
      <c r="AH27" s="23" t="str">
        <f>IF(AH23="VSL","X","")</f>
        <v/>
      </c>
      <c r="AI27" s="23"/>
      <c r="AJ27" s="23" t="str">
        <f>IF(AJ23="VSL","X","")</f>
        <v/>
      </c>
      <c r="AK27" s="23"/>
      <c r="AL27" s="23" t="str">
        <f>IF(AL23="VSL","X","")</f>
        <v/>
      </c>
      <c r="AM27" s="23"/>
      <c r="AN27" s="23" t="str">
        <f>IF(AN23="VSL","X","")</f>
        <v/>
      </c>
      <c r="AO27" s="23"/>
      <c r="AP27" s="23" t="str">
        <f>IF(AP23="VSL","X","")</f>
        <v/>
      </c>
      <c r="AR27" s="6"/>
      <c r="AS27" s="6"/>
      <c r="AT27" s="6"/>
      <c r="AU27" s="6"/>
      <c r="AV27" s="6"/>
    </row>
    <row r="28" spans="2:48" s="25" customFormat="1" ht="16.5" thickTop="1" thickBot="1" x14ac:dyDescent="0.3"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7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8"/>
      <c r="AR28" s="1"/>
      <c r="AS28" s="1"/>
      <c r="AT28" s="1"/>
      <c r="AU28" s="1"/>
      <c r="AV28" s="1"/>
    </row>
    <row r="29" spans="2:48" x14ac:dyDescent="0.25">
      <c r="H29" s="29" t="s">
        <v>7</v>
      </c>
      <c r="I29" s="30"/>
      <c r="J29" s="30"/>
      <c r="K29" s="30"/>
      <c r="L29" s="30"/>
      <c r="M29" s="30"/>
      <c r="N29" s="31" t="str">
        <f>IF(B21="Y","D","")</f>
        <v/>
      </c>
      <c r="O29" s="31"/>
      <c r="P29" s="31"/>
      <c r="Q29" s="31" t="str">
        <f>IF(B13&gt;=5,"D","")</f>
        <v/>
      </c>
      <c r="R29" s="31" t="str">
        <f>IF(B13&gt;=5,"D","")</f>
        <v/>
      </c>
      <c r="S29" s="31" t="str">
        <f>IF(B13&gt;=4,"D","")</f>
        <v/>
      </c>
      <c r="T29" s="31" t="str">
        <f>IF(B13&gt;=4,"D","")</f>
        <v/>
      </c>
      <c r="U29" s="31" t="str">
        <f>IF(B13&gt;=3,"D","")</f>
        <v/>
      </c>
      <c r="V29" s="31" t="str">
        <f>IF(B13&gt;=3,"D","")</f>
        <v/>
      </c>
      <c r="W29" s="31" t="str">
        <f>IF(OR(B13&gt;=2,B19="Y"),"D","")</f>
        <v/>
      </c>
      <c r="X29" s="31" t="str">
        <f>IF(B11="Y","D",IF(B13&gt;=2,"D",""))</f>
        <v/>
      </c>
      <c r="Y29" s="31" t="str">
        <f>IF(OR(B13&gt;=1,B19="Y"),"D","")</f>
        <v/>
      </c>
      <c r="Z29" s="31" t="str">
        <f>IF(B11="Y","D",IF(B13&gt;=1,"D",IF(B19="Y","D","")))</f>
        <v/>
      </c>
      <c r="AA29" s="31" t="str">
        <f>IF(B13&gt;=1,"D",IF(B19="Y","D",""))</f>
        <v/>
      </c>
      <c r="AB29" s="31" t="str">
        <f>IF(B11="Y","D",IF(B13&gt;=1,"D",IF(B19="Y","D","")))</f>
        <v/>
      </c>
      <c r="AC29" s="32" t="str">
        <f>IF(B19="Y","D","")</f>
        <v/>
      </c>
      <c r="AD29" s="31" t="str">
        <f>IF(OR(AD31&lt;&gt;"",AD32&lt;&gt;"",AD33&lt;&gt;"",AD34&lt;&gt;"",AD35&lt;&gt;"",AD36&lt;&gt;""),"D","")</f>
        <v/>
      </c>
      <c r="AE29" s="31" t="str">
        <f t="shared" ref="AE29:AP29" si="0">IF(OR(AE31&lt;&gt;"",AE32&lt;&gt;"",AE33&lt;&gt;"",AE34&lt;&gt;"",AE35&lt;&gt;"",AE36&lt;&gt;""),"D","")</f>
        <v/>
      </c>
      <c r="AF29" s="31" t="str">
        <f t="shared" si="0"/>
        <v/>
      </c>
      <c r="AG29" s="31" t="str">
        <f t="shared" si="0"/>
        <v/>
      </c>
      <c r="AH29" s="31" t="str">
        <f t="shared" si="0"/>
        <v/>
      </c>
      <c r="AI29" s="31" t="str">
        <f t="shared" si="0"/>
        <v/>
      </c>
      <c r="AJ29" s="31" t="str">
        <f t="shared" si="0"/>
        <v/>
      </c>
      <c r="AK29" s="31" t="str">
        <f t="shared" si="0"/>
        <v/>
      </c>
      <c r="AL29" s="31" t="str">
        <f t="shared" si="0"/>
        <v/>
      </c>
      <c r="AM29" s="31" t="str">
        <f t="shared" si="0"/>
        <v/>
      </c>
      <c r="AN29" s="31" t="str">
        <f t="shared" si="0"/>
        <v/>
      </c>
      <c r="AO29" s="31" t="str">
        <f t="shared" si="0"/>
        <v/>
      </c>
      <c r="AP29" s="31" t="str">
        <f t="shared" si="0"/>
        <v/>
      </c>
      <c r="AQ29" s="33" t="str">
        <f t="shared" ref="AQ29" si="1">IF(OR(AQ30&lt;&gt;"",AQ31&lt;&gt;"",AQ32&lt;&gt;"",AQ33&lt;&gt;"",AQ34&lt;&gt;"",AQ35&lt;&gt;""),"D","")</f>
        <v/>
      </c>
      <c r="AR29" s="25"/>
      <c r="AS29" s="25"/>
      <c r="AT29" s="25"/>
      <c r="AU29" s="25"/>
      <c r="AV29" s="25"/>
    </row>
    <row r="30" spans="2:48" x14ac:dyDescent="0.25">
      <c r="H30" s="34" t="s">
        <v>14</v>
      </c>
      <c r="I30" s="35"/>
      <c r="J30" s="36"/>
      <c r="K30" s="13"/>
      <c r="L30" s="13" t="str">
        <f>IF(L33="VMS","X","")</f>
        <v/>
      </c>
      <c r="M30" s="37"/>
      <c r="N30" s="13" t="str">
        <f>IF(N33="VMS","X","")</f>
        <v/>
      </c>
      <c r="O30" s="13"/>
      <c r="P30" s="13"/>
      <c r="Q30" s="13" t="str">
        <f t="shared" ref="Q30:AB30" si="2">IF(Q29="D","X","")</f>
        <v/>
      </c>
      <c r="R30" s="13" t="str">
        <f t="shared" si="2"/>
        <v/>
      </c>
      <c r="S30" s="13" t="str">
        <f t="shared" si="2"/>
        <v/>
      </c>
      <c r="T30" s="13" t="str">
        <f t="shared" si="2"/>
        <v/>
      </c>
      <c r="U30" s="13" t="str">
        <f t="shared" si="2"/>
        <v/>
      </c>
      <c r="V30" s="13" t="str">
        <f t="shared" si="2"/>
        <v/>
      </c>
      <c r="W30" s="13" t="str">
        <f t="shared" si="2"/>
        <v/>
      </c>
      <c r="X30" s="13" t="str">
        <f t="shared" si="2"/>
        <v/>
      </c>
      <c r="Y30" s="13" t="str">
        <f t="shared" si="2"/>
        <v/>
      </c>
      <c r="Z30" s="14" t="str">
        <f t="shared" si="2"/>
        <v/>
      </c>
      <c r="AA30" s="13" t="str">
        <f t="shared" si="2"/>
        <v/>
      </c>
      <c r="AB30" s="14" t="str">
        <f t="shared" si="2"/>
        <v/>
      </c>
      <c r="AC30" s="38" t="str">
        <f>IF(OR(AC32="VMS",AC35="CAM"),"X","")</f>
        <v/>
      </c>
      <c r="AD30" s="9" t="str">
        <f t="shared" ref="AD30:AP30" si="3">IF(AD29="D","X","")</f>
        <v/>
      </c>
      <c r="AE30" s="9" t="str">
        <f t="shared" si="3"/>
        <v/>
      </c>
      <c r="AF30" s="9" t="str">
        <f t="shared" si="3"/>
        <v/>
      </c>
      <c r="AG30" s="9" t="str">
        <f t="shared" si="3"/>
        <v/>
      </c>
      <c r="AH30" s="9" t="str">
        <f t="shared" si="3"/>
        <v/>
      </c>
      <c r="AI30" s="9" t="str">
        <f t="shared" si="3"/>
        <v/>
      </c>
      <c r="AJ30" s="9" t="str">
        <f t="shared" si="3"/>
        <v/>
      </c>
      <c r="AK30" s="9" t="str">
        <f t="shared" si="3"/>
        <v/>
      </c>
      <c r="AL30" s="9" t="str">
        <f t="shared" si="3"/>
        <v/>
      </c>
      <c r="AM30" s="9" t="str">
        <f t="shared" si="3"/>
        <v/>
      </c>
      <c r="AN30" s="9" t="str">
        <f t="shared" si="3"/>
        <v/>
      </c>
      <c r="AO30" s="9" t="str">
        <f t="shared" si="3"/>
        <v/>
      </c>
      <c r="AP30" s="9" t="str">
        <f t="shared" si="3"/>
        <v/>
      </c>
      <c r="AQ30" s="28"/>
    </row>
    <row r="31" spans="2:48" x14ac:dyDescent="0.25">
      <c r="H31" s="12" t="s">
        <v>13</v>
      </c>
      <c r="J31" s="2"/>
      <c r="K31" s="13"/>
      <c r="L31" s="9"/>
      <c r="M31" s="9"/>
      <c r="N31" s="13"/>
      <c r="O31" s="13"/>
      <c r="P31" s="13"/>
      <c r="Q31" s="9" t="str">
        <f>IF(B13&gt;=5,"VMS","")</f>
        <v/>
      </c>
      <c r="R31" s="9"/>
      <c r="S31" s="9" t="str">
        <f>IF(B13&gt;=4,"VMS","")</f>
        <v/>
      </c>
      <c r="T31" s="9"/>
      <c r="U31" s="9" t="str">
        <f>IF(B13&gt;=3,"VMS","")</f>
        <v/>
      </c>
      <c r="V31" s="9"/>
      <c r="W31" s="9" t="str">
        <f>IF(B13&gt;=2,"VMS","")</f>
        <v/>
      </c>
      <c r="X31" s="9"/>
      <c r="Y31" s="9" t="str">
        <f>IF(B13&gt;=1,"VMS","")</f>
        <v/>
      </c>
      <c r="Z31" s="9"/>
      <c r="AA31" s="13"/>
      <c r="AB31" s="14"/>
      <c r="AC31" s="15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2:48" x14ac:dyDescent="0.25">
      <c r="H32" s="12" t="s">
        <v>12</v>
      </c>
      <c r="J32" s="2"/>
      <c r="K32" s="13"/>
      <c r="L32" s="9"/>
      <c r="M32" s="9"/>
      <c r="N32" s="13"/>
      <c r="O32" s="13"/>
      <c r="P32" s="13"/>
      <c r="Q32" s="13"/>
      <c r="R32" s="13"/>
      <c r="S32" s="13"/>
      <c r="T32" s="13"/>
      <c r="U32" s="13"/>
      <c r="V32" s="13"/>
      <c r="W32" s="13" t="str">
        <f>IF(AND(B19="Y",B13&gt;=2),"VMS-2",IF(B19="Y","VMS",""))</f>
        <v/>
      </c>
      <c r="X32" s="13"/>
      <c r="Y32" s="13" t="str">
        <f>IF(AND(B19="Y",B13&gt;=1),"VMS-2",IF(B19="Y","VMS",""))</f>
        <v/>
      </c>
      <c r="Z32" s="13"/>
      <c r="AA32" s="13"/>
      <c r="AB32" s="14" t="str">
        <f>IF(B19="Y","VMS","")</f>
        <v/>
      </c>
      <c r="AC32" s="16" t="str">
        <f>IF(B19="Y","VMS","")</f>
        <v/>
      </c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8:48" x14ac:dyDescent="0.25">
      <c r="H33" s="12" t="s">
        <v>11</v>
      </c>
      <c r="J33" s="2"/>
      <c r="L33" s="13" t="str">
        <f>IF(B21="Y","VMS","")</f>
        <v/>
      </c>
      <c r="M33" s="9"/>
      <c r="N33" s="13" t="str">
        <f>IF(B21="Y","VMS","")</f>
        <v/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4"/>
      <c r="AC33" s="15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8:48" s="6" customFormat="1" x14ac:dyDescent="0.25">
      <c r="H34" s="7" t="s">
        <v>16</v>
      </c>
      <c r="J34" s="8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10"/>
      <c r="AC34" s="11"/>
      <c r="AD34" s="9" t="str">
        <f>IF(AND($B$17="Y", $B$9&gt;=1),"VSL","")</f>
        <v/>
      </c>
      <c r="AE34" s="9"/>
      <c r="AF34" s="9" t="str">
        <f>IF(AND($B$17="Y", $B$9&gt;=2),"VSL","")</f>
        <v/>
      </c>
      <c r="AG34" s="9"/>
      <c r="AH34" s="9" t="str">
        <f>IF(AND($B$17="Y", $B$9&gt;=3),"VSL","")</f>
        <v/>
      </c>
      <c r="AI34" s="9"/>
      <c r="AJ34" s="9" t="str">
        <f>IF(AND($B$17="Y", $B$9&gt;=4),"VSL","")</f>
        <v/>
      </c>
      <c r="AK34" s="9"/>
      <c r="AL34" s="9" t="str">
        <f>IF(AND($B$17="Y", $B$9&gt;=5),"VSL","")</f>
        <v/>
      </c>
      <c r="AM34" s="9"/>
      <c r="AN34" s="9" t="str">
        <f>IF(AND($B$17="Y", $B$9&gt;=6),"VSL","")</f>
        <v/>
      </c>
      <c r="AO34" s="9"/>
      <c r="AP34" s="9" t="str">
        <f>IF(AND($B$17="Y", $B$9&gt;=7),"VSL","")</f>
        <v/>
      </c>
      <c r="AR34" s="1"/>
      <c r="AS34" s="1"/>
      <c r="AT34" s="1"/>
      <c r="AU34" s="1"/>
      <c r="AV34" s="1"/>
    </row>
    <row r="35" spans="8:48" x14ac:dyDescent="0.25">
      <c r="H35" s="12" t="s">
        <v>15</v>
      </c>
      <c r="J35" s="2"/>
      <c r="K35" s="13"/>
      <c r="L35" s="9"/>
      <c r="M35" s="9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4"/>
      <c r="AC35" s="39" t="str">
        <f>IF($B$15="Y","CCTV","")</f>
        <v/>
      </c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R35" s="6"/>
      <c r="AS35" s="6"/>
      <c r="AT35" s="6"/>
      <c r="AU35" s="6"/>
      <c r="AV35" s="6"/>
    </row>
    <row r="36" spans="8:48" s="41" customFormat="1" hidden="1" x14ac:dyDescent="0.25">
      <c r="H36" s="40" t="s">
        <v>8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3"/>
      <c r="AD36" s="42" t="str">
        <f t="shared" ref="AD36:AP36" si="4">IF($B$11="Y",IF(OR(AD21=($B$9/2),AD21=$B$9),"D",""),"")</f>
        <v/>
      </c>
      <c r="AE36" s="42" t="str">
        <f t="shared" si="4"/>
        <v/>
      </c>
      <c r="AF36" s="42" t="str">
        <f t="shared" si="4"/>
        <v/>
      </c>
      <c r="AG36" s="42" t="str">
        <f t="shared" si="4"/>
        <v/>
      </c>
      <c r="AH36" s="42" t="str">
        <f t="shared" si="4"/>
        <v/>
      </c>
      <c r="AI36" s="42" t="str">
        <f t="shared" si="4"/>
        <v/>
      </c>
      <c r="AJ36" s="42" t="str">
        <f t="shared" si="4"/>
        <v/>
      </c>
      <c r="AK36" s="42" t="str">
        <f t="shared" si="4"/>
        <v/>
      </c>
      <c r="AL36" s="42" t="str">
        <f t="shared" si="4"/>
        <v/>
      </c>
      <c r="AM36" s="42" t="str">
        <f t="shared" si="4"/>
        <v/>
      </c>
      <c r="AN36" s="42" t="str">
        <f t="shared" si="4"/>
        <v/>
      </c>
      <c r="AO36" s="42" t="str">
        <f t="shared" si="4"/>
        <v/>
      </c>
      <c r="AP36" s="42" t="str">
        <f t="shared" si="4"/>
        <v/>
      </c>
      <c r="AR36" s="1"/>
      <c r="AS36" s="1"/>
      <c r="AT36" s="1"/>
      <c r="AU36" s="1"/>
      <c r="AV36" s="1"/>
    </row>
    <row r="37" spans="8:48" x14ac:dyDescent="0.25"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R37" s="6"/>
      <c r="AS37" s="6"/>
      <c r="AT37" s="6"/>
      <c r="AU37" s="6"/>
      <c r="AV37" s="6"/>
    </row>
    <row r="38" spans="8:48" x14ac:dyDescent="0.25"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8:48" x14ac:dyDescent="0.25"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8:48" x14ac:dyDescent="0.25"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8:48" x14ac:dyDescent="0.25"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8:48" x14ac:dyDescent="0.25"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  <row r="46" spans="8:48" x14ac:dyDescent="0.25">
      <c r="AM46" s="44"/>
      <c r="AN46" s="44"/>
      <c r="AO46" s="44"/>
      <c r="AP46" s="44"/>
    </row>
    <row r="47" spans="8:48" x14ac:dyDescent="0.25">
      <c r="AM47" s="44"/>
      <c r="AN47" s="44"/>
      <c r="AO47" s="44"/>
      <c r="AP47" s="44"/>
    </row>
    <row r="49" spans="8:51" x14ac:dyDescent="0.25">
      <c r="AW49" s="45"/>
      <c r="AX49" s="45"/>
      <c r="AY49" s="45"/>
    </row>
    <row r="50" spans="8:51" x14ac:dyDescent="0.25">
      <c r="AU50" s="25"/>
      <c r="AV50" s="45"/>
      <c r="AW50" s="25"/>
      <c r="AX50" s="25"/>
      <c r="AY50" s="25"/>
    </row>
    <row r="51" spans="8:51" x14ac:dyDescent="0.25">
      <c r="I51" s="2"/>
      <c r="AU51" s="25"/>
      <c r="AV51" s="25"/>
      <c r="AW51" s="25"/>
      <c r="AX51" s="25"/>
      <c r="AY51" s="25"/>
    </row>
    <row r="52" spans="8:51" x14ac:dyDescent="0.25">
      <c r="H52" s="46"/>
      <c r="I52" s="47"/>
      <c r="AU52" s="25"/>
      <c r="AV52" s="25"/>
      <c r="AW52" s="45"/>
      <c r="AX52" s="45"/>
      <c r="AY52" s="45"/>
    </row>
    <row r="53" spans="8:51" x14ac:dyDescent="0.25">
      <c r="AU53" s="25"/>
      <c r="AV53" s="45"/>
      <c r="AW53" s="45"/>
      <c r="AX53" s="45"/>
      <c r="AY53" s="45"/>
    </row>
    <row r="54" spans="8:51" x14ac:dyDescent="0.25">
      <c r="AU54" s="25"/>
      <c r="AV54" s="45"/>
      <c r="AW54" s="25"/>
      <c r="AX54" s="25"/>
      <c r="AY54" s="25"/>
    </row>
    <row r="55" spans="8:51" x14ac:dyDescent="0.25">
      <c r="AU55" s="25"/>
      <c r="AV55" s="25"/>
      <c r="AW55" s="25"/>
      <c r="AX55" s="25"/>
      <c r="AY55" s="25"/>
    </row>
    <row r="56" spans="8:51" x14ac:dyDescent="0.25">
      <c r="AU56" s="25"/>
      <c r="AV56" s="25"/>
      <c r="AW56" s="25"/>
      <c r="AX56" s="25"/>
      <c r="AY56" s="25"/>
    </row>
    <row r="57" spans="8:51" x14ac:dyDescent="0.25">
      <c r="AU57" s="25"/>
      <c r="AV57" s="25"/>
      <c r="AW57" s="48"/>
      <c r="AX57" s="48"/>
      <c r="AY57" s="48"/>
    </row>
    <row r="58" spans="8:51" x14ac:dyDescent="0.25">
      <c r="AU58" s="25"/>
      <c r="AV58" s="48"/>
      <c r="AW58" s="25"/>
      <c r="AX58" s="25"/>
      <c r="AY58" s="25"/>
    </row>
    <row r="59" spans="8:51" x14ac:dyDescent="0.25">
      <c r="AU59" s="25"/>
      <c r="AV59" s="25"/>
      <c r="AW59" s="25"/>
      <c r="AX59" s="25"/>
      <c r="AY59" s="25"/>
    </row>
    <row r="60" spans="8:51" x14ac:dyDescent="0.25">
      <c r="AU60" s="25"/>
      <c r="AV60" s="25"/>
      <c r="AW60" s="25"/>
      <c r="AX60" s="25"/>
      <c r="AY60" s="25"/>
    </row>
    <row r="61" spans="8:51" x14ac:dyDescent="0.25">
      <c r="AU61" s="25"/>
      <c r="AV61" s="25"/>
      <c r="AW61" s="25"/>
      <c r="AX61" s="25"/>
      <c r="AY61" s="25"/>
    </row>
    <row r="62" spans="8:51" x14ac:dyDescent="0.25">
      <c r="AU62" s="25"/>
      <c r="AV62" s="25"/>
    </row>
  </sheetData>
  <sheetProtection selectLockedCells="1"/>
  <mergeCells count="10">
    <mergeCell ref="B7:E7"/>
    <mergeCell ref="P16:AB16"/>
    <mergeCell ref="AC16:AP16"/>
    <mergeCell ref="I2:N2"/>
    <mergeCell ref="I3:I5"/>
    <mergeCell ref="J3:J5"/>
    <mergeCell ref="K3:K5"/>
    <mergeCell ref="N3:N5"/>
    <mergeCell ref="L3:M5"/>
    <mergeCell ref="L6:M6"/>
  </mergeCells>
  <pageMargins left="0.7" right="0.7" top="0.75" bottom="0.75" header="0.3" footer="0.3"/>
  <pageSetup paperSize="17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Z65"/>
  <sheetViews>
    <sheetView showGridLines="0" zoomScale="85" zoomScaleNormal="85" zoomScalePageLayoutView="85" workbookViewId="0">
      <selection activeCell="B11" sqref="B11"/>
    </sheetView>
  </sheetViews>
  <sheetFormatPr defaultColWidth="8.85546875" defaultRowHeight="15" x14ac:dyDescent="0.25"/>
  <cols>
    <col min="1" max="1" width="1.28515625" style="1" customWidth="1"/>
    <col min="2" max="2" width="7.140625" style="1" customWidth="1"/>
    <col min="3" max="8" width="8.85546875" style="1"/>
    <col min="9" max="9" width="23" style="1" customWidth="1"/>
    <col min="10" max="11" width="8.85546875" style="1"/>
    <col min="12" max="12" width="8.85546875" style="1" customWidth="1"/>
    <col min="13" max="14" width="4.7109375" style="1" customWidth="1"/>
    <col min="15" max="15" width="8.85546875" style="1" customWidth="1"/>
    <col min="16" max="23" width="4.85546875" style="1" customWidth="1"/>
    <col min="24" max="24" width="6.7109375" style="1" bestFit="1" customWidth="1"/>
    <col min="25" max="25" width="4.85546875" style="1" customWidth="1"/>
    <col min="26" max="26" width="6.7109375" style="1" bestFit="1" customWidth="1"/>
    <col min="27" max="44" width="4.85546875" style="1" customWidth="1"/>
    <col min="45" max="49" width="11.42578125" style="1" customWidth="1"/>
    <col min="50" max="52" width="5" style="1" customWidth="1"/>
    <col min="53" max="16384" width="8.85546875" style="1"/>
  </cols>
  <sheetData>
    <row r="1" spans="2:15" ht="9.75" customHeight="1" thickBot="1" x14ac:dyDescent="0.3"/>
    <row r="2" spans="2:15" ht="15.75" thickBot="1" x14ac:dyDescent="0.3">
      <c r="B2" s="56" t="s">
        <v>24</v>
      </c>
      <c r="C2" s="57"/>
      <c r="D2" s="57"/>
      <c r="E2" s="57"/>
      <c r="F2" s="57"/>
      <c r="G2" s="57"/>
      <c r="H2" s="58"/>
      <c r="J2" s="84" t="s">
        <v>9</v>
      </c>
      <c r="K2" s="85"/>
      <c r="L2" s="85"/>
      <c r="M2" s="85"/>
      <c r="N2" s="85"/>
      <c r="O2" s="86"/>
    </row>
    <row r="3" spans="2:15" x14ac:dyDescent="0.25">
      <c r="B3" s="59" t="s">
        <v>25</v>
      </c>
      <c r="C3" s="25"/>
      <c r="D3" s="25"/>
      <c r="E3" s="25"/>
      <c r="F3" s="25"/>
      <c r="G3" s="25"/>
      <c r="H3" s="60"/>
      <c r="J3" s="87" t="s">
        <v>10</v>
      </c>
      <c r="K3" s="90" t="s">
        <v>32</v>
      </c>
      <c r="L3" s="90" t="s">
        <v>33</v>
      </c>
      <c r="M3" s="93" t="s">
        <v>1</v>
      </c>
      <c r="N3" s="94"/>
      <c r="O3" s="87" t="s">
        <v>0</v>
      </c>
    </row>
    <row r="4" spans="2:15" x14ac:dyDescent="0.25">
      <c r="B4" s="59" t="s">
        <v>28</v>
      </c>
      <c r="C4" s="25"/>
      <c r="D4" s="25"/>
      <c r="E4" s="25"/>
      <c r="F4" s="25"/>
      <c r="G4" s="25"/>
      <c r="H4" s="60"/>
      <c r="J4" s="88"/>
      <c r="K4" s="91"/>
      <c r="L4" s="91"/>
      <c r="M4" s="95"/>
      <c r="N4" s="96"/>
      <c r="O4" s="88"/>
    </row>
    <row r="5" spans="2:15" ht="15.75" thickBot="1" x14ac:dyDescent="0.3">
      <c r="B5" s="77" t="s">
        <v>30</v>
      </c>
      <c r="C5" s="25"/>
      <c r="D5" s="25"/>
      <c r="E5" s="25"/>
      <c r="F5" s="25"/>
      <c r="G5" s="25"/>
      <c r="H5" s="60"/>
      <c r="J5" s="89"/>
      <c r="K5" s="92"/>
      <c r="L5" s="92"/>
      <c r="M5" s="97"/>
      <c r="N5" s="98"/>
      <c r="O5" s="89"/>
    </row>
    <row r="6" spans="2:15" ht="15.75" thickBot="1" x14ac:dyDescent="0.3">
      <c r="B6" s="59" t="s">
        <v>31</v>
      </c>
      <c r="C6" s="25"/>
      <c r="D6" s="25"/>
      <c r="E6" s="25"/>
      <c r="F6" s="25"/>
      <c r="G6" s="25"/>
      <c r="H6" s="60"/>
      <c r="J6" s="65">
        <f>COUNTIF(O32:AQ32,"D")</f>
        <v>0</v>
      </c>
      <c r="K6" s="65">
        <f>COUNTIF(Q26:AD27:Q34:AD35:L36:O36,"VMS")</f>
        <v>0</v>
      </c>
      <c r="L6" s="65">
        <f>COUNTIF(AE24:AQ24:AE37:AQ37,"VSL")</f>
        <v>0</v>
      </c>
      <c r="M6" s="81">
        <f>COUNTIF(L28:AQ28:L33:AQ33,"X")</f>
        <v>0</v>
      </c>
      <c r="N6" s="83"/>
      <c r="O6" s="65">
        <f>COUNTIF(AD24:AD38,"CCTV")</f>
        <v>0</v>
      </c>
    </row>
    <row r="7" spans="2:15" ht="15.75" thickBot="1" x14ac:dyDescent="0.3">
      <c r="B7" s="61" t="s">
        <v>29</v>
      </c>
      <c r="C7" s="62"/>
      <c r="D7" s="62"/>
      <c r="E7" s="62"/>
      <c r="F7" s="62"/>
      <c r="G7" s="62"/>
      <c r="H7" s="63"/>
    </row>
    <row r="8" spans="2:15" ht="15.75" thickBot="1" x14ac:dyDescent="0.3">
      <c r="B8" s="64"/>
      <c r="C8" s="25"/>
      <c r="D8" s="25"/>
      <c r="E8" s="25"/>
      <c r="F8" s="25"/>
      <c r="G8" s="25"/>
      <c r="H8" s="25"/>
    </row>
    <row r="9" spans="2:15" ht="15.75" thickBot="1" x14ac:dyDescent="0.3">
      <c r="B9" s="78" t="s">
        <v>34</v>
      </c>
      <c r="C9" s="79"/>
      <c r="D9" s="79"/>
      <c r="E9" s="80"/>
      <c r="F9" s="25"/>
      <c r="G9" s="25"/>
      <c r="H9" s="25"/>
    </row>
    <row r="10" spans="2:15" ht="15.75" thickBot="1" x14ac:dyDescent="0.3"/>
    <row r="11" spans="2:15" ht="15.75" thickBot="1" x14ac:dyDescent="0.3">
      <c r="B11" s="67"/>
      <c r="C11" s="49" t="s">
        <v>17</v>
      </c>
    </row>
    <row r="12" spans="2:15" ht="15.75" thickBot="1" x14ac:dyDescent="0.3">
      <c r="B12" s="47"/>
      <c r="C12" s="49"/>
    </row>
    <row r="13" spans="2:15" ht="15.75" thickBot="1" x14ac:dyDescent="0.3">
      <c r="B13" s="67"/>
      <c r="C13" s="49" t="s">
        <v>18</v>
      </c>
    </row>
    <row r="14" spans="2:15" ht="15.75" thickBot="1" x14ac:dyDescent="0.3">
      <c r="C14" s="50"/>
    </row>
    <row r="15" spans="2:15" ht="15.75" thickBot="1" x14ac:dyDescent="0.3">
      <c r="B15" s="67"/>
      <c r="C15" s="49" t="s">
        <v>19</v>
      </c>
    </row>
    <row r="16" spans="2:15" ht="15.75" thickBot="1" x14ac:dyDescent="0.3">
      <c r="B16" s="2"/>
      <c r="C16" s="76" t="str">
        <f>IF(B15&gt;=6,"Queueing beyond 6 miles is not acceptable, consider revised traffic control remediation.","")</f>
        <v/>
      </c>
    </row>
    <row r="17" spans="2:49" ht="15.75" thickBot="1" x14ac:dyDescent="0.3">
      <c r="B17" s="67"/>
      <c r="C17" s="54" t="s">
        <v>20</v>
      </c>
      <c r="Q17" s="81" t="s">
        <v>6</v>
      </c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/>
      <c r="AD17" s="81" t="s">
        <v>5</v>
      </c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3"/>
    </row>
    <row r="18" spans="2:49" ht="15" customHeight="1" thickBot="1" x14ac:dyDescent="0.3">
      <c r="B18" s="2"/>
      <c r="C18" s="50"/>
    </row>
    <row r="19" spans="2:49" ht="15.75" thickBot="1" x14ac:dyDescent="0.3">
      <c r="B19" s="67"/>
      <c r="C19" s="49" t="s">
        <v>21</v>
      </c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3" t="s">
        <v>2</v>
      </c>
    </row>
    <row r="20" spans="2:49" ht="15.75" thickBot="1" x14ac:dyDescent="0.3">
      <c r="B20" s="28"/>
      <c r="C20" s="50"/>
      <c r="AD20" s="52" t="s">
        <v>3</v>
      </c>
    </row>
    <row r="21" spans="2:49" ht="15.75" thickBot="1" x14ac:dyDescent="0.3">
      <c r="B21" s="67"/>
      <c r="C21" s="49" t="s">
        <v>22</v>
      </c>
      <c r="K21" s="2"/>
      <c r="L21" s="2"/>
      <c r="M21" s="2"/>
      <c r="N21" s="2"/>
      <c r="O21" s="2"/>
      <c r="P21" s="2"/>
      <c r="Q21" s="51"/>
      <c r="R21" s="51"/>
      <c r="S21" s="51"/>
      <c r="T21" s="51"/>
      <c r="U21" s="51"/>
      <c r="V21" s="51"/>
      <c r="W21" s="45"/>
      <c r="X21" s="45"/>
      <c r="Y21" s="45"/>
      <c r="Z21" s="45"/>
      <c r="AA21" s="45"/>
      <c r="AB21" s="45"/>
      <c r="AC21" s="45"/>
      <c r="AD21" s="52" t="s">
        <v>4</v>
      </c>
    </row>
    <row r="22" spans="2:49" ht="15.75" thickBot="1" x14ac:dyDescent="0.3">
      <c r="B22" s="2"/>
      <c r="C22" s="50"/>
      <c r="K22" s="2"/>
      <c r="L22" s="2"/>
      <c r="M22" s="2"/>
      <c r="N22" s="2"/>
      <c r="O22" s="2"/>
      <c r="P22" s="2"/>
      <c r="Q22" s="3">
        <v>6</v>
      </c>
      <c r="R22" s="3">
        <v>5.5</v>
      </c>
      <c r="S22" s="3">
        <v>5</v>
      </c>
      <c r="T22" s="3">
        <v>4.5</v>
      </c>
      <c r="U22" s="3">
        <v>4</v>
      </c>
      <c r="V22" s="3">
        <v>3.5</v>
      </c>
      <c r="W22" s="3">
        <v>3</v>
      </c>
      <c r="X22" s="3">
        <v>2.5</v>
      </c>
      <c r="Y22" s="3">
        <v>2</v>
      </c>
      <c r="Z22" s="3">
        <v>1.5</v>
      </c>
      <c r="AA22" s="3">
        <v>1</v>
      </c>
      <c r="AB22" s="3">
        <v>0.5</v>
      </c>
      <c r="AC22" s="3">
        <v>0.25</v>
      </c>
      <c r="AD22" s="4">
        <v>0.5</v>
      </c>
      <c r="AE22" s="5">
        <v>1</v>
      </c>
      <c r="AF22" s="5">
        <v>1.5</v>
      </c>
      <c r="AG22" s="5">
        <v>2</v>
      </c>
      <c r="AH22" s="5">
        <v>2.5</v>
      </c>
      <c r="AI22" s="5">
        <v>3</v>
      </c>
      <c r="AJ22" s="5">
        <v>3.5</v>
      </c>
      <c r="AK22" s="5">
        <v>4</v>
      </c>
      <c r="AL22" s="5">
        <v>4.5</v>
      </c>
      <c r="AM22" s="5">
        <v>5</v>
      </c>
      <c r="AN22" s="5">
        <v>5.5</v>
      </c>
      <c r="AO22" s="5">
        <v>6</v>
      </c>
      <c r="AP22" s="3">
        <v>6.5</v>
      </c>
      <c r="AQ22" s="3">
        <v>7</v>
      </c>
    </row>
    <row r="23" spans="2:49" ht="15.75" thickBot="1" x14ac:dyDescent="0.3">
      <c r="B23" s="67"/>
      <c r="C23" s="49" t="s">
        <v>23</v>
      </c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3"/>
      <c r="AQ23" s="3"/>
    </row>
    <row r="24" spans="2:49" s="6" customFormat="1" x14ac:dyDescent="0.25">
      <c r="I24" s="7" t="s">
        <v>16</v>
      </c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0"/>
      <c r="AD24" s="11"/>
      <c r="AE24" s="9" t="str">
        <f>IF(AND($B$19="Y", $B$11&gt;=1),"VSL","")</f>
        <v/>
      </c>
      <c r="AF24" s="9"/>
      <c r="AG24" s="9" t="str">
        <f>IF(AND($B$19="Y", $B$11&gt;=2),"VSL","")</f>
        <v/>
      </c>
      <c r="AH24" s="9"/>
      <c r="AI24" s="9" t="str">
        <f>IF(AND($B$19="Y", $B$11&gt;=3),"VSL","")</f>
        <v/>
      </c>
      <c r="AJ24" s="9"/>
      <c r="AK24" s="9" t="str">
        <f>IF(AND($B$19="Y", $B$11&gt;=4),"VSL","")</f>
        <v/>
      </c>
      <c r="AL24" s="9"/>
      <c r="AM24" s="9" t="str">
        <f>IF(AND($B$19="Y", $B$11&gt;=5),"VSL","")</f>
        <v/>
      </c>
      <c r="AN24" s="9"/>
      <c r="AO24" s="9" t="str">
        <f>IF(AND($B$19="Y", $B$11&gt;=6),"VSL","")</f>
        <v/>
      </c>
      <c r="AP24" s="9"/>
      <c r="AQ24" s="9" t="str">
        <f>IF(AND($B$19="Y", $B$11&gt;=7),"VSL","")</f>
        <v/>
      </c>
      <c r="AS24" s="1"/>
      <c r="AT24" s="1"/>
      <c r="AU24" s="1"/>
      <c r="AV24" s="1"/>
      <c r="AW24" s="1"/>
    </row>
    <row r="25" spans="2:49" x14ac:dyDescent="0.25">
      <c r="I25" s="12" t="s">
        <v>11</v>
      </c>
      <c r="K25" s="2"/>
      <c r="L25" s="13"/>
      <c r="M25" s="13"/>
      <c r="N25" s="9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4"/>
      <c r="AD25" s="15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S25" s="6"/>
      <c r="AT25" s="6"/>
      <c r="AU25" s="6"/>
      <c r="AV25" s="6"/>
      <c r="AW25" s="6"/>
    </row>
    <row r="26" spans="2:49" x14ac:dyDescent="0.25">
      <c r="I26" s="12" t="s">
        <v>12</v>
      </c>
      <c r="K26" s="2"/>
      <c r="L26" s="13"/>
      <c r="M26" s="13"/>
      <c r="N26" s="9"/>
      <c r="O26" s="13"/>
      <c r="P26" s="13"/>
      <c r="Q26" s="13"/>
      <c r="R26" s="13"/>
      <c r="S26" s="13"/>
      <c r="T26" s="13"/>
      <c r="U26" s="13"/>
      <c r="V26" s="13"/>
      <c r="W26" s="13"/>
      <c r="X26" s="13" t="str">
        <f>IF(AND(B21="Y",B15&gt;=2),"VMS-2",IF(B21="Y","VMS",""))</f>
        <v/>
      </c>
      <c r="Y26" s="13"/>
      <c r="Z26" s="13" t="str">
        <f>IF(AND(B21="Y",B15&gt;=1),"VMS-2",IF(B21="Y","VMS",""))</f>
        <v/>
      </c>
      <c r="AA26" s="13"/>
      <c r="AB26" s="13"/>
      <c r="AC26" s="14" t="str">
        <f>IF(B21="Y","VMS","")</f>
        <v/>
      </c>
      <c r="AD26" s="16" t="str">
        <f>IF(B21="Y","VMS","")</f>
        <v/>
      </c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</row>
    <row r="27" spans="2:49" s="6" customFormat="1" x14ac:dyDescent="0.25">
      <c r="I27" s="12" t="s">
        <v>13</v>
      </c>
      <c r="J27" s="1"/>
      <c r="K27" s="2"/>
      <c r="L27" s="13"/>
      <c r="M27" s="13"/>
      <c r="N27" s="9"/>
      <c r="O27" s="13"/>
      <c r="P27" s="13"/>
      <c r="Q27" s="17"/>
      <c r="R27" s="13" t="str">
        <f>IF(B15&gt;=5,"VMS","")</f>
        <v/>
      </c>
      <c r="T27" s="13" t="str">
        <f>IF(B15&gt;=4,"VMS","")</f>
        <v/>
      </c>
      <c r="V27" s="13" t="str">
        <f>IF(B15&gt;=3,"VMS","")</f>
        <v/>
      </c>
      <c r="W27" s="13"/>
      <c r="X27" s="9" t="str">
        <f>IF(B15&gt;=2,"VMS","")</f>
        <v/>
      </c>
      <c r="Y27" s="13"/>
      <c r="Z27" s="9" t="str">
        <f>IF(B15&gt;=1,"VMS","")</f>
        <v/>
      </c>
      <c r="AA27" s="13"/>
      <c r="AB27" s="13"/>
      <c r="AC27" s="14"/>
      <c r="AD27" s="15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"/>
      <c r="AS27" s="1"/>
      <c r="AT27" s="1"/>
      <c r="AU27" s="1"/>
      <c r="AV27" s="1"/>
      <c r="AW27" s="1"/>
    </row>
    <row r="28" spans="2:49" ht="15.75" thickBot="1" x14ac:dyDescent="0.3">
      <c r="I28" s="18" t="s">
        <v>14</v>
      </c>
      <c r="J28" s="19"/>
      <c r="K28" s="20"/>
      <c r="L28" s="21"/>
      <c r="M28" s="21"/>
      <c r="N28" s="23"/>
      <c r="O28" s="21"/>
      <c r="P28" s="21"/>
      <c r="Q28" s="21"/>
      <c r="R28" s="21" t="str">
        <f>IF(R27="VMS","X","")</f>
        <v/>
      </c>
      <c r="T28" s="21" t="str">
        <f>IF(T27="VMS","X","")</f>
        <v/>
      </c>
      <c r="V28" s="21" t="str">
        <f>IF(V27="VMS","X","")</f>
        <v/>
      </c>
      <c r="W28" s="21"/>
      <c r="X28" s="21" t="str">
        <f>IF(X32="D","X","")</f>
        <v/>
      </c>
      <c r="Y28" s="23"/>
      <c r="Z28" s="21" t="str">
        <f>IF(Z32="D","X","")</f>
        <v/>
      </c>
      <c r="AA28" s="23"/>
      <c r="AB28" s="21"/>
      <c r="AC28" s="68" t="str">
        <f>IF(AC26="VMS","X","")</f>
        <v/>
      </c>
      <c r="AD28" s="24" t="str">
        <f>IF(AD26="VMS","X","")</f>
        <v/>
      </c>
      <c r="AE28" s="23" t="str">
        <f>IF(AE24="VSL","X","")</f>
        <v/>
      </c>
      <c r="AF28" s="23"/>
      <c r="AG28" s="23" t="str">
        <f>IF(AG24="VSL","X","")</f>
        <v/>
      </c>
      <c r="AH28" s="23"/>
      <c r="AI28" s="23" t="str">
        <f>IF(AI24="VSL","X","")</f>
        <v/>
      </c>
      <c r="AJ28" s="23"/>
      <c r="AK28" s="23" t="str">
        <f>IF(AK24="VSL","X","")</f>
        <v/>
      </c>
      <c r="AL28" s="23"/>
      <c r="AM28" s="23" t="str">
        <f>IF(AM24="VSL","X","")</f>
        <v/>
      </c>
      <c r="AN28" s="23"/>
      <c r="AO28" s="23" t="str">
        <f>IF(AO24="VSL","X","")</f>
        <v/>
      </c>
      <c r="AP28" s="23"/>
      <c r="AQ28" s="23" t="str">
        <f>IF(AQ24="VSL","X","")</f>
        <v/>
      </c>
      <c r="AS28" s="6"/>
      <c r="AT28" s="6"/>
      <c r="AU28" s="6"/>
      <c r="AV28" s="6"/>
      <c r="AW28" s="6"/>
    </row>
    <row r="29" spans="2:49" s="25" customFormat="1" ht="15.75" thickTop="1" x14ac:dyDescent="0.25"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70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28"/>
      <c r="AS29" s="1"/>
      <c r="AT29" s="1"/>
      <c r="AU29" s="1"/>
      <c r="AV29" s="1"/>
      <c r="AW29" s="1"/>
    </row>
    <row r="30" spans="2:49" s="25" customFormat="1" ht="15.75" thickBot="1" x14ac:dyDescent="0.3"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2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28"/>
    </row>
    <row r="31" spans="2:49" s="25" customFormat="1" ht="15.75" thickBot="1" x14ac:dyDescent="0.3"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4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28"/>
    </row>
    <row r="32" spans="2:49" x14ac:dyDescent="0.25">
      <c r="I32" s="29" t="s">
        <v>7</v>
      </c>
      <c r="J32" s="30"/>
      <c r="K32" s="30"/>
      <c r="L32" s="30"/>
      <c r="M32" s="30"/>
      <c r="N32" s="30"/>
      <c r="O32" s="31" t="str">
        <f>IF(B23="Y","D","")</f>
        <v/>
      </c>
      <c r="P32" s="31"/>
      <c r="Q32" s="31"/>
      <c r="R32" s="31" t="str">
        <f>IF(B15&gt;=5,"D","")</f>
        <v/>
      </c>
      <c r="S32" s="31" t="str">
        <f>IF(B15&gt;=5,"D","")</f>
        <v/>
      </c>
      <c r="T32" s="31" t="str">
        <f>IF(B15&gt;=4,"D","")</f>
        <v/>
      </c>
      <c r="U32" s="31" t="str">
        <f>IF(B15&gt;=4,"D","")</f>
        <v/>
      </c>
      <c r="V32" s="31" t="str">
        <f>IF(B15&gt;=3,"D","")</f>
        <v/>
      </c>
      <c r="W32" s="31" t="str">
        <f>IF(B15&gt;=3,"D","")</f>
        <v/>
      </c>
      <c r="X32" s="31" t="str">
        <f>IF(OR(B15&gt;=2,B21="Y"),"D","")</f>
        <v/>
      </c>
      <c r="Y32" s="31" t="str">
        <f>IF(B13="Y","D",IF(B15&gt;=2,"D",""))</f>
        <v/>
      </c>
      <c r="Z32" s="31" t="str">
        <f>IF(OR(B15&gt;=1,B21="Y"),"D","")</f>
        <v/>
      </c>
      <c r="AA32" s="31" t="str">
        <f>IF(B13="Y","D",IF(B15&gt;=1,"D",IF(B21="Y","D","")))</f>
        <v/>
      </c>
      <c r="AB32" s="31" t="str">
        <f>IF(B15&gt;=1,"D",IF(B21="Y","D",""))</f>
        <v/>
      </c>
      <c r="AC32" s="31" t="str">
        <f>IF(B13="Y","D",IF(B15&gt;=1,"D",IF(B21="Y","D","")))</f>
        <v/>
      </c>
      <c r="AD32" s="32" t="str">
        <f>IF(B21="Y","D","")</f>
        <v/>
      </c>
      <c r="AE32" s="31" t="str">
        <f>IF(OR(AE34&lt;&gt;"",AE35&lt;&gt;"",AE36&lt;&gt;"",AE37&lt;&gt;"",AE38&lt;&gt;"",AE39&lt;&gt;""),"D","")</f>
        <v/>
      </c>
      <c r="AF32" s="31" t="str">
        <f t="shared" ref="AF32:AQ32" si="0">IF(OR(AF34&lt;&gt;"",AF35&lt;&gt;"",AF36&lt;&gt;"",AF37&lt;&gt;"",AF38&lt;&gt;"",AF39&lt;&gt;""),"D","")</f>
        <v/>
      </c>
      <c r="AG32" s="31" t="str">
        <f t="shared" si="0"/>
        <v/>
      </c>
      <c r="AH32" s="31" t="str">
        <f t="shared" si="0"/>
        <v/>
      </c>
      <c r="AI32" s="31" t="str">
        <f t="shared" si="0"/>
        <v/>
      </c>
      <c r="AJ32" s="31" t="str">
        <f t="shared" si="0"/>
        <v/>
      </c>
      <c r="AK32" s="31" t="str">
        <f t="shared" si="0"/>
        <v/>
      </c>
      <c r="AL32" s="31" t="str">
        <f t="shared" si="0"/>
        <v/>
      </c>
      <c r="AM32" s="31" t="str">
        <f t="shared" si="0"/>
        <v/>
      </c>
      <c r="AN32" s="31" t="str">
        <f t="shared" si="0"/>
        <v/>
      </c>
      <c r="AO32" s="31" t="str">
        <f t="shared" si="0"/>
        <v/>
      </c>
      <c r="AP32" s="31" t="str">
        <f t="shared" si="0"/>
        <v/>
      </c>
      <c r="AQ32" s="31" t="str">
        <f t="shared" si="0"/>
        <v/>
      </c>
      <c r="AR32" s="33" t="str">
        <f t="shared" ref="AR32" si="1">IF(OR(AR33&lt;&gt;"",AR34&lt;&gt;"",AR35&lt;&gt;"",AR36&lt;&gt;"",AR37&lt;&gt;"",AR38&lt;&gt;""),"D","")</f>
        <v/>
      </c>
      <c r="AS32" s="25"/>
      <c r="AT32" s="25"/>
      <c r="AU32" s="25"/>
      <c r="AV32" s="25"/>
      <c r="AW32" s="25"/>
    </row>
    <row r="33" spans="9:49" x14ac:dyDescent="0.25">
      <c r="I33" s="34" t="s">
        <v>14</v>
      </c>
      <c r="J33" s="35"/>
      <c r="K33" s="36"/>
      <c r="L33" s="13" t="str">
        <f>IF(L36="VMS","X","")</f>
        <v/>
      </c>
      <c r="M33" s="13"/>
      <c r="N33" s="75"/>
      <c r="O33" s="13" t="str">
        <f>IF(O36="VMS","X","")</f>
        <v/>
      </c>
      <c r="P33" s="13"/>
      <c r="Q33" s="13"/>
      <c r="R33" s="13" t="str">
        <f t="shared" ref="R33:AC33" si="2">IF(R32="D","X","")</f>
        <v/>
      </c>
      <c r="S33" s="13" t="str">
        <f t="shared" si="2"/>
        <v/>
      </c>
      <c r="T33" s="13" t="str">
        <f t="shared" si="2"/>
        <v/>
      </c>
      <c r="U33" s="13" t="str">
        <f t="shared" si="2"/>
        <v/>
      </c>
      <c r="V33" s="13" t="str">
        <f t="shared" si="2"/>
        <v/>
      </c>
      <c r="W33" s="13" t="str">
        <f t="shared" si="2"/>
        <v/>
      </c>
      <c r="X33" s="13" t="str">
        <f t="shared" si="2"/>
        <v/>
      </c>
      <c r="Y33" s="13" t="str">
        <f t="shared" si="2"/>
        <v/>
      </c>
      <c r="Z33" s="13" t="str">
        <f t="shared" si="2"/>
        <v/>
      </c>
      <c r="AA33" s="14" t="str">
        <f t="shared" si="2"/>
        <v/>
      </c>
      <c r="AB33" s="13" t="str">
        <f t="shared" si="2"/>
        <v/>
      </c>
      <c r="AC33" s="14" t="str">
        <f t="shared" si="2"/>
        <v/>
      </c>
      <c r="AD33" s="38" t="str">
        <f>IF(OR(AD35="VMS",AD38="CAM"),"X","")</f>
        <v/>
      </c>
      <c r="AE33" s="9" t="str">
        <f t="shared" ref="AE33:AQ33" si="3">IF(AE32="D","X","")</f>
        <v/>
      </c>
      <c r="AF33" s="9" t="str">
        <f t="shared" si="3"/>
        <v/>
      </c>
      <c r="AG33" s="9" t="str">
        <f t="shared" si="3"/>
        <v/>
      </c>
      <c r="AH33" s="9" t="str">
        <f t="shared" si="3"/>
        <v/>
      </c>
      <c r="AI33" s="9" t="str">
        <f t="shared" si="3"/>
        <v/>
      </c>
      <c r="AJ33" s="9" t="str">
        <f t="shared" si="3"/>
        <v/>
      </c>
      <c r="AK33" s="9" t="str">
        <f t="shared" si="3"/>
        <v/>
      </c>
      <c r="AL33" s="9" t="str">
        <f t="shared" si="3"/>
        <v/>
      </c>
      <c r="AM33" s="9" t="str">
        <f t="shared" si="3"/>
        <v/>
      </c>
      <c r="AN33" s="9" t="str">
        <f t="shared" si="3"/>
        <v/>
      </c>
      <c r="AO33" s="9" t="str">
        <f t="shared" si="3"/>
        <v/>
      </c>
      <c r="AP33" s="9" t="str">
        <f t="shared" si="3"/>
        <v/>
      </c>
      <c r="AQ33" s="9" t="str">
        <f t="shared" si="3"/>
        <v/>
      </c>
      <c r="AR33" s="28"/>
    </row>
    <row r="34" spans="9:49" x14ac:dyDescent="0.25">
      <c r="I34" s="12" t="s">
        <v>13</v>
      </c>
      <c r="K34" s="2"/>
      <c r="L34" s="13"/>
      <c r="M34" s="13"/>
      <c r="N34" s="9"/>
      <c r="O34" s="13"/>
      <c r="P34" s="13"/>
      <c r="Q34" s="13"/>
      <c r="R34" s="9" t="str">
        <f>IF(B15&gt;=5,"VMS","")</f>
        <v/>
      </c>
      <c r="S34" s="9"/>
      <c r="T34" s="9" t="str">
        <f>IF(B15&gt;=4,"VMS","")</f>
        <v/>
      </c>
      <c r="U34" s="9"/>
      <c r="V34" s="9" t="str">
        <f>IF(B15&gt;=3,"VMS","")</f>
        <v/>
      </c>
      <c r="W34" s="9"/>
      <c r="X34" s="9" t="str">
        <f>IF(B15&gt;=2,"VMS","")</f>
        <v/>
      </c>
      <c r="Y34" s="9"/>
      <c r="Z34" s="9" t="str">
        <f>IF(B15&gt;=1,"VMS","")</f>
        <v/>
      </c>
      <c r="AA34" s="9"/>
      <c r="AB34" s="13"/>
      <c r="AC34" s="14"/>
      <c r="AD34" s="15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9:49" x14ac:dyDescent="0.25">
      <c r="I35" s="12" t="s">
        <v>12</v>
      </c>
      <c r="K35" s="2"/>
      <c r="L35" s="13"/>
      <c r="M35" s="13"/>
      <c r="N35" s="9"/>
      <c r="O35" s="13"/>
      <c r="P35" s="13"/>
      <c r="Q35" s="13"/>
      <c r="R35" s="13"/>
      <c r="S35" s="13"/>
      <c r="T35" s="13"/>
      <c r="U35" s="13"/>
      <c r="V35" s="13"/>
      <c r="W35" s="13"/>
      <c r="X35" s="13" t="str">
        <f>IF(AND(B21="Y",B15&gt;=2),"VMS-2",IF(B21="Y","VMS",""))</f>
        <v/>
      </c>
      <c r="Y35" s="13"/>
      <c r="Z35" s="13" t="str">
        <f>IF(AND(B21="Y",B15&gt;=1),"VMS-2",IF(B21="Y","VMS",""))</f>
        <v/>
      </c>
      <c r="AA35" s="13"/>
      <c r="AB35" s="13"/>
      <c r="AC35" s="14" t="str">
        <f>IF(B21="Y","VMS","")</f>
        <v/>
      </c>
      <c r="AD35" s="16" t="str">
        <f>IF(B21="Y","VMS","")</f>
        <v/>
      </c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9:49" x14ac:dyDescent="0.25">
      <c r="I36" s="12" t="s">
        <v>11</v>
      </c>
      <c r="K36" s="2"/>
      <c r="L36" s="13" t="str">
        <f>IF(B23="Y","VMS","")</f>
        <v/>
      </c>
      <c r="M36" s="13"/>
      <c r="N36" s="9"/>
      <c r="O36" s="13" t="str">
        <f>IF(B23="Y","VMS","")</f>
        <v/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4"/>
      <c r="AD36" s="15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9:49" s="6" customFormat="1" x14ac:dyDescent="0.25">
      <c r="I37" s="7" t="s">
        <v>16</v>
      </c>
      <c r="K37" s="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10"/>
      <c r="AD37" s="11"/>
      <c r="AE37" s="9" t="str">
        <f>IF(AND($B$19="Y", $B$11&gt;=1),"VSL","")</f>
        <v/>
      </c>
      <c r="AF37" s="9"/>
      <c r="AG37" s="9" t="str">
        <f>IF(AND($B$19="Y", $B$11&gt;=2),"VSL","")</f>
        <v/>
      </c>
      <c r="AH37" s="9"/>
      <c r="AI37" s="9" t="str">
        <f>IF(AND($B$19="Y", $B$11&gt;=3),"VSL","")</f>
        <v/>
      </c>
      <c r="AJ37" s="9"/>
      <c r="AK37" s="9" t="str">
        <f>IF(AND($B$19="Y", $B$11&gt;=4),"VSL","")</f>
        <v/>
      </c>
      <c r="AL37" s="9"/>
      <c r="AM37" s="9" t="str">
        <f>IF(AND($B$19="Y", $B$11&gt;=5),"VSL","")</f>
        <v/>
      </c>
      <c r="AN37" s="9"/>
      <c r="AO37" s="9" t="str">
        <f>IF(AND($B$19="Y", $B$11&gt;=6),"VSL","")</f>
        <v/>
      </c>
      <c r="AP37" s="9"/>
      <c r="AQ37" s="9" t="str">
        <f>IF(AND($B$19="Y", $B$11&gt;=7),"VSL","")</f>
        <v/>
      </c>
      <c r="AS37" s="1"/>
      <c r="AT37" s="1"/>
      <c r="AU37" s="1"/>
      <c r="AV37" s="1"/>
      <c r="AW37" s="1"/>
    </row>
    <row r="38" spans="9:49" x14ac:dyDescent="0.25">
      <c r="I38" s="12" t="s">
        <v>15</v>
      </c>
      <c r="K38" s="2"/>
      <c r="L38" s="13"/>
      <c r="M38" s="13"/>
      <c r="N38" s="9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4"/>
      <c r="AD38" s="16" t="str">
        <f>IF($B$17="Y","CCTV","")</f>
        <v/>
      </c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S38" s="6"/>
      <c r="AT38" s="6"/>
      <c r="AU38" s="6"/>
      <c r="AV38" s="6"/>
      <c r="AW38" s="6"/>
    </row>
    <row r="39" spans="9:49" s="41" customFormat="1" hidden="1" x14ac:dyDescent="0.25">
      <c r="I39" s="40" t="s">
        <v>8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3"/>
      <c r="AE39" s="42" t="str">
        <f t="shared" ref="AE39:AQ39" si="4">IF($B$13="Y",IF(OR(AE22=($B$11/2),AE22=$B$11),"D",""),"")</f>
        <v/>
      </c>
      <c r="AF39" s="42" t="str">
        <f t="shared" si="4"/>
        <v/>
      </c>
      <c r="AG39" s="42" t="str">
        <f t="shared" si="4"/>
        <v/>
      </c>
      <c r="AH39" s="42" t="str">
        <f t="shared" si="4"/>
        <v/>
      </c>
      <c r="AI39" s="42" t="str">
        <f t="shared" si="4"/>
        <v/>
      </c>
      <c r="AJ39" s="42" t="str">
        <f t="shared" si="4"/>
        <v/>
      </c>
      <c r="AK39" s="42" t="str">
        <f t="shared" si="4"/>
        <v/>
      </c>
      <c r="AL39" s="42" t="str">
        <f t="shared" si="4"/>
        <v/>
      </c>
      <c r="AM39" s="42" t="str">
        <f t="shared" si="4"/>
        <v/>
      </c>
      <c r="AN39" s="42" t="str">
        <f t="shared" si="4"/>
        <v/>
      </c>
      <c r="AO39" s="42" t="str">
        <f t="shared" si="4"/>
        <v/>
      </c>
      <c r="AP39" s="42" t="str">
        <f t="shared" si="4"/>
        <v/>
      </c>
      <c r="AQ39" s="42" t="str">
        <f t="shared" si="4"/>
        <v/>
      </c>
      <c r="AS39" s="1"/>
      <c r="AT39" s="1"/>
      <c r="AU39" s="1"/>
      <c r="AV39" s="1"/>
      <c r="AW39" s="1"/>
    </row>
    <row r="40" spans="9:49" x14ac:dyDescent="0.25"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S40" s="6"/>
      <c r="AT40" s="6"/>
      <c r="AU40" s="6"/>
      <c r="AV40" s="6"/>
      <c r="AW40" s="6"/>
    </row>
    <row r="41" spans="9:49" x14ac:dyDescent="0.25"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9:49" x14ac:dyDescent="0.25"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9:49" x14ac:dyDescent="0.25"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9:49" x14ac:dyDescent="0.25"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9:49" x14ac:dyDescent="0.25"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9:49" x14ac:dyDescent="0.25">
      <c r="K46" s="50"/>
    </row>
    <row r="49" spans="9:52" x14ac:dyDescent="0.25">
      <c r="AN49" s="44"/>
      <c r="AO49" s="44"/>
      <c r="AP49" s="44"/>
      <c r="AQ49" s="44"/>
    </row>
    <row r="50" spans="9:52" x14ac:dyDescent="0.25">
      <c r="AN50" s="44"/>
      <c r="AO50" s="44"/>
      <c r="AP50" s="44"/>
      <c r="AQ50" s="44"/>
    </row>
    <row r="52" spans="9:52" x14ac:dyDescent="0.25">
      <c r="AX52" s="45"/>
      <c r="AY52" s="45"/>
      <c r="AZ52" s="45"/>
    </row>
    <row r="53" spans="9:52" x14ac:dyDescent="0.25">
      <c r="AV53" s="25"/>
      <c r="AW53" s="45"/>
      <c r="AX53" s="25"/>
      <c r="AY53" s="25"/>
      <c r="AZ53" s="25"/>
    </row>
    <row r="54" spans="9:52" x14ac:dyDescent="0.25">
      <c r="J54" s="2"/>
      <c r="AV54" s="25"/>
      <c r="AW54" s="25"/>
      <c r="AX54" s="25"/>
      <c r="AY54" s="25"/>
      <c r="AZ54" s="25"/>
    </row>
    <row r="55" spans="9:52" x14ac:dyDescent="0.25">
      <c r="I55" s="46"/>
      <c r="J55" s="47"/>
      <c r="AV55" s="25"/>
      <c r="AW55" s="25"/>
      <c r="AX55" s="45"/>
      <c r="AY55" s="45"/>
      <c r="AZ55" s="45"/>
    </row>
    <row r="56" spans="9:52" x14ac:dyDescent="0.25">
      <c r="AV56" s="25"/>
      <c r="AW56" s="45"/>
      <c r="AX56" s="45"/>
      <c r="AY56" s="45"/>
      <c r="AZ56" s="45"/>
    </row>
    <row r="57" spans="9:52" x14ac:dyDescent="0.25">
      <c r="AV57" s="25"/>
      <c r="AW57" s="45"/>
      <c r="AX57" s="25"/>
      <c r="AY57" s="25"/>
      <c r="AZ57" s="25"/>
    </row>
    <row r="58" spans="9:52" x14ac:dyDescent="0.25">
      <c r="AV58" s="25"/>
      <c r="AW58" s="25"/>
      <c r="AX58" s="25"/>
      <c r="AY58" s="25"/>
      <c r="AZ58" s="25"/>
    </row>
    <row r="59" spans="9:52" x14ac:dyDescent="0.25">
      <c r="AV59" s="25"/>
      <c r="AW59" s="25"/>
      <c r="AX59" s="25"/>
      <c r="AY59" s="25"/>
      <c r="AZ59" s="25"/>
    </row>
    <row r="60" spans="9:52" x14ac:dyDescent="0.25">
      <c r="AV60" s="25"/>
      <c r="AW60" s="25"/>
      <c r="AX60" s="48"/>
      <c r="AY60" s="48"/>
      <c r="AZ60" s="48"/>
    </row>
    <row r="61" spans="9:52" x14ac:dyDescent="0.25">
      <c r="AV61" s="25"/>
      <c r="AW61" s="48"/>
      <c r="AX61" s="25"/>
      <c r="AY61" s="25"/>
      <c r="AZ61" s="25"/>
    </row>
    <row r="62" spans="9:52" x14ac:dyDescent="0.25">
      <c r="AV62" s="25"/>
      <c r="AW62" s="25"/>
      <c r="AX62" s="25"/>
      <c r="AY62" s="25"/>
      <c r="AZ62" s="25"/>
    </row>
    <row r="63" spans="9:52" x14ac:dyDescent="0.25">
      <c r="AV63" s="25"/>
      <c r="AW63" s="25"/>
      <c r="AX63" s="25"/>
      <c r="AY63" s="25"/>
      <c r="AZ63" s="25"/>
    </row>
    <row r="64" spans="9:52" x14ac:dyDescent="0.25">
      <c r="AV64" s="25"/>
      <c r="AW64" s="25"/>
      <c r="AX64" s="25"/>
      <c r="AY64" s="25"/>
      <c r="AZ64" s="25"/>
    </row>
    <row r="65" spans="48:49" x14ac:dyDescent="0.25">
      <c r="AV65" s="25"/>
      <c r="AW65" s="25"/>
    </row>
  </sheetData>
  <sheetProtection selectLockedCells="1"/>
  <mergeCells count="10">
    <mergeCell ref="J2:O2"/>
    <mergeCell ref="J3:J5"/>
    <mergeCell ref="K3:K5"/>
    <mergeCell ref="L3:L5"/>
    <mergeCell ref="O3:O5"/>
    <mergeCell ref="B9:E9"/>
    <mergeCell ref="M3:N5"/>
    <mergeCell ref="M6:N6"/>
    <mergeCell ref="Q17:AC17"/>
    <mergeCell ref="AD17:AQ17"/>
  </mergeCells>
  <pageMargins left="0.7" right="0.7" top="0.75" bottom="0.75" header="0.3" footer="0.3"/>
  <pageSetup paperSize="17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ADOT Matrix (1 to 2 lanes)</vt:lpstr>
      <vt:lpstr>ADOT Matrix (3 lanes or more)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SWZ Qty Tool</dc:title>
  <dc:creator>ADOT</dc:creator>
  <cp:lastModifiedBy>Carrie Muller</cp:lastModifiedBy>
  <cp:lastPrinted>2019-04-04T23:50:53Z</cp:lastPrinted>
  <dcterms:created xsi:type="dcterms:W3CDTF">2019-02-25T15:38:20Z</dcterms:created>
  <dcterms:modified xsi:type="dcterms:W3CDTF">2020-09-09T23:40:38Z</dcterms:modified>
</cp:coreProperties>
</file>