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2" yWindow="-12" windowWidth="23064" windowHeight="5592"/>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Transactions'!$A$1:$S$63</definedName>
    <definedName name="Query_from_MS_Access_Database" localSheetId="1" hidden="1">'Regional Loans and Transfers'!$A$11:$R$16</definedName>
    <definedName name="Query_from_MS_Access_Database_1" localSheetId="0" hidden="1">'Federal Funds Transactions'!$A$15:$P$46</definedName>
    <definedName name="Query_from_MS_Access_Database_1" localSheetId="1" hidden="1">'Regional Loans and Transfers'!$A$23:$R$28</definedName>
    <definedName name="Query_from_MS_Access_Database_2" localSheetId="0" hidden="1">'Federal Funds Transactions'!$A$51:$P$52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52" i="1" l="1"/>
  <c r="Q52" i="1"/>
  <c r="R52" i="1" s="1"/>
  <c r="R16" i="1"/>
  <c r="R17" i="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41" i="1" s="1"/>
  <c r="R42" i="1" s="1"/>
  <c r="R43" i="1" s="1"/>
  <c r="R44" i="1" s="1"/>
  <c r="R45" i="1" s="1"/>
  <c r="R46" i="1" s="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R61" i="1" l="1"/>
  <c r="R59" i="1" s="1"/>
  <c r="R60" i="1" l="1"/>
  <c r="P60" i="1"/>
  <c r="O60" i="1"/>
  <c r="N60" i="1"/>
  <c r="Q60" i="1" l="1"/>
  <c r="B5" i="3"/>
  <c r="P5" i="1" l="1"/>
  <c r="Q53" i="1" l="1"/>
  <c r="A7" i="3"/>
  <c r="O53" i="1" l="1"/>
  <c r="P53" i="1"/>
  <c r="N53" i="1"/>
  <c r="O47" i="1"/>
  <c r="P47" i="1"/>
  <c r="N47" i="1"/>
  <c r="N11" i="1"/>
  <c r="N10" i="1"/>
  <c r="N9" i="1"/>
  <c r="N8" i="1"/>
  <c r="N7" i="1"/>
  <c r="N6" i="1"/>
  <c r="O11" i="1"/>
  <c r="O10" i="1"/>
  <c r="O9" i="1"/>
  <c r="O8" i="1"/>
  <c r="O7" i="1"/>
  <c r="O6" i="1"/>
  <c r="P6" i="1"/>
  <c r="P7" i="1"/>
  <c r="P8" i="1"/>
  <c r="P9" i="1"/>
  <c r="P10" i="1"/>
  <c r="R11" i="1"/>
  <c r="P11" i="1"/>
  <c r="R7" i="1"/>
  <c r="R8" i="1"/>
  <c r="R9" i="1"/>
  <c r="R10" i="1"/>
  <c r="R6" i="1"/>
  <c r="N12" i="1" l="1"/>
  <c r="P12" i="1"/>
  <c r="Q7" i="1"/>
  <c r="Q8" i="1"/>
  <c r="Q9" i="1"/>
  <c r="Q10" i="1"/>
  <c r="Q11" i="1"/>
  <c r="Q47" i="1" l="1"/>
  <c r="D11" i="2" l="1"/>
  <c r="D13" i="2" l="1"/>
  <c r="O5" i="1" s="1"/>
  <c r="O12" i="1" l="1"/>
  <c r="O48" i="1" s="1"/>
  <c r="O54" i="1" s="1"/>
  <c r="O59" i="1" s="1"/>
  <c r="O62" i="1" s="1"/>
  <c r="Q6" i="1"/>
  <c r="Q5" i="1" l="1"/>
  <c r="R5" i="1" s="1"/>
  <c r="R12" i="1" s="1"/>
  <c r="A1" i="3" l="1"/>
  <c r="N48" i="1" l="1"/>
  <c r="N54" i="1" s="1"/>
  <c r="N59" i="1" s="1"/>
  <c r="N61" i="1" s="1"/>
  <c r="Q4" i="1" l="1"/>
  <c r="Q12" i="1" s="1"/>
  <c r="Q48" i="1" l="1"/>
  <c r="Q54" i="1" s="1"/>
  <c r="P48" i="1"/>
  <c r="P54" i="1" s="1"/>
  <c r="P59" i="1" l="1"/>
  <c r="Q59" i="1" l="1"/>
  <c r="P61" i="1"/>
  <c r="Q61" i="1" s="1"/>
  <c r="P62" i="1" l="1"/>
  <c r="Q62"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SIP, `01-CAAG LEDGER`.SPR, `01-CAAG LEDGER`.`STP OTHER`_x000d__x000a_FROM `G:\FMS\RESOURCE\ACCESS\010614 PBPF\011614 PBPF front.accdb`.`01-CAAG LEDGER` `01-CAAG LEDGER`_x000d__x000a_WHERE (`01-CAAG LEDGER`.`ADOT#` Not Like 'TRICK') AND (`01-CAAG LEDGER`.`Finance Authorization` Is Not Null)_x000d__x000a_ORDER BY `01-CA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1-CAGqryLedgerApportsCrosstab`.`Transaction Year`, `01-CAGqryLedgerApportsCrosstab`.`Transaction Type`, `01-CAGqryLedgerApportsCrosstab`.Number, `01-CAGqryLedgerApportsCrosstab`.`From`, `01-CAGqryLedgerApportsCrosstab`.To, `01-CAGqryLedgerApportsCrosstab`.`Repayment Year`, `01-CAGqryLedgerApportsCrosstab`.Project8, `01-CAGqryLedgerApportsCrosstab`.Notes, `01-CAGqryLedgerApportsCrosstab`.Total, `01-CAGqryLedgerApportsCrosstab`.CMAQ, `01-CAGqryLedgerApportsCrosstab`.`CMAQ 2_5`, `01-CAGqryLedgerApportsCrosstab`.HSIP, `01-CAGqryLedgerApportsCrosstab`.PL, `01-CAGqryLedgerApportsCrosstab`.SPR, `01-CAGqryLedgerApportsCrosstab`.`STP other`, `01-CAGqryLedgerApportsCrosstab`.`STP over 200K`, `01-CAGqryLedgerApportsCrosstab`.`TA other`, `01-CAGqryLedgerApportsCrosstab`.`TA over 200K` FROM `01-CAGqryLedgerApportsCrosstab` WHERE (`01-C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1-CAGqryLedgerOACrosstab`.`Transaction Year`, `01-CAGqryLedgerOACrosstab`.`Transaction Type`, `01-CAGqryLedgerOACrosstab`.Number, `01-CAGqryLedgerOACrosstab`.`From`, `01-CAGqryLedgerOACrosstab`.TO, `01-CAGqryLedgerOACrosstab`.`Repayment Year`, `01-CAGqryLedgerOACrosstab`.PROJECT8, `01-CAGqryLedgerOACrosstab`.NOTES, `01-CAGqryLedgerOACrosstab`.Total, `01-CAGqryLedgerOACrosstab`.CMAQ, `01-CAGqryLedgerOACrosstab`.`CMAQ 2_5`, `01-CAGqryLedgerOACrosstab`.HSIP, `01-CAGqryLedgerOACrosstab`.PL, `01-CAGqryLedgerOACrosstab`.SPR, `01-CAGqryLedgerOACrosstab`.`STP other`, `01-CAGqryLedgerOACrosstab`.`STP over 200K`, `01-CAGqryLedgerOACrosstab`.`TA other`, `01-CAGqryLedgerOACrosstab`.`TA over 200K` FROM `01-CAGqryLedgerOACrosstab` WHERE (`01-C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SIP, `01-CAAG LEDGER`.SPR, `01-CAAG LEDGER`.`STP OTHER`_x000d__x000a_FROM `G:\FMS\RESOURCE\ACCESS\010614 PBPF\011614 PBPF front.accdb`.`01-CAAG LEDGER` `01-CAAG LEDGER`_x000d__x000a_WHERE (`01-CAAG LEDGER`.`ADOT#` Not Like 'TRICK') AND (`01-CAAG LEDGER`.`Finance Authorization` Is Null)"/>
  </connection>
</connections>
</file>

<file path=xl/sharedStrings.xml><?xml version="1.0" encoding="utf-8"?>
<sst xmlns="http://schemas.openxmlformats.org/spreadsheetml/2006/main" count="484" uniqueCount="256">
  <si>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</si>
  <si>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</si>
  <si>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</si>
  <si>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</si>
  <si>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</si>
  <si>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</si>
  <si>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</si>
  <si>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</si>
  <si>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</si>
  <si>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</si>
  <si>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</si>
  <si>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</si>
  <si>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</si>
  <si>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</si>
  <si>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</si>
  <si>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</si>
  <si>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</si>
  <si>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</si>
  <si>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</si>
  <si>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</si>
  <si>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</si>
  <si>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</si>
  <si>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</si>
  <si>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</si>
  <si>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</si>
  <si>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</si>
  <si>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</si>
  <si>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</si>
  <si>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</si>
  <si>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</si>
  <si>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</si>
  <si>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</si>
  <si>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</si>
  <si>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</si>
  <si>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</si>
  <si>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</si>
  <si>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2013</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</si>
  <si>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</si>
  <si>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</si>
  <si>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</si>
  <si>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</si>
  <si>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</si>
  <si>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</si>
  <si>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</si>
  <si>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</si>
  <si>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</si>
  <si>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</si>
  <si>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</si>
  <si>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</si>
  <si>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</si>
  <si>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</si>
  <si>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</si>
  <si>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</si>
  <si>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MAG</t>
  </si>
  <si>
    <t>Transfer Out</t>
  </si>
  <si>
    <t>CAG</t>
  </si>
  <si>
    <t>PAY</t>
  </si>
  <si>
    <t>CAG-T001</t>
  </si>
  <si>
    <t>None</t>
  </si>
  <si>
    <t>STP Transfer to MAG for Maricopa Casa Grande Hwy MAR 12-01C</t>
  </si>
  <si>
    <t>RTE</t>
  </si>
  <si>
    <t>SEC</t>
  </si>
  <si>
    <t>SEQ</t>
  </si>
  <si>
    <t>PB Expected</t>
  </si>
  <si>
    <t>PB Received</t>
  </si>
  <si>
    <t>PF Transmitted</t>
  </si>
  <si>
    <t>Finance Authorization</t>
  </si>
  <si>
    <t>SH58001C</t>
  </si>
  <si>
    <t>PAY13-02C</t>
  </si>
  <si>
    <t>PAYSON</t>
  </si>
  <si>
    <t>0</t>
  </si>
  <si>
    <t>204</t>
  </si>
  <si>
    <t>STP OTHER</t>
  </si>
  <si>
    <t>FED #</t>
  </si>
  <si>
    <t>EXPECTED DECLINING BALANCE OA</t>
  </si>
  <si>
    <t>TOTAL</t>
  </si>
  <si>
    <t>GLOBE</t>
  </si>
  <si>
    <t>SH49401C</t>
  </si>
  <si>
    <t>SPR /4</t>
  </si>
  <si>
    <t xml:space="preserve">State FY 14 amount available for authorization 10/1/13 - 6/30/14 </t>
  </si>
  <si>
    <t>SPR apportionment availability for approved work program</t>
  </si>
  <si>
    <t>State FY 14 Approved work program amount</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</si>
  <si>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</si>
  <si>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 xml:space="preserve">State FY 14 amount authorized prior to 9/30/13 </t>
  </si>
  <si>
    <t>Total SPR apportionments for Federal Fiscal Year 14 (as shown on ledger)</t>
  </si>
  <si>
    <t>APPORTIONMENTS</t>
  </si>
  <si>
    <t>STP</t>
  </si>
  <si>
    <t>OA</t>
  </si>
  <si>
    <t>HSIP/3</t>
  </si>
  <si>
    <t>/ 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</si>
  <si>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</si>
  <si>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</si>
  <si>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</si>
  <si>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</si>
  <si>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</si>
  <si>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</si>
  <si>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</si>
  <si>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</si>
  <si>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</si>
  <si>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</si>
  <si>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</si>
  <si>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</si>
  <si>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</si>
  <si>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</si>
  <si>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Carry Forward to FFY 15</t>
  </si>
  <si>
    <t>State FY 15 amount avaiilable for authorization 7/1/14 - 9/30/14 (request must be submitted by 9/1/14)</t>
  </si>
  <si>
    <t>CURRENT YEAR FUNDS</t>
  </si>
  <si>
    <t>Data as of:</t>
  </si>
  <si>
    <t xml:space="preserve">Federal Aid Regional Loans and Transfers Ledger
</t>
  </si>
  <si>
    <t>Action/15</t>
  </si>
  <si>
    <t>Town of Payson-Various Locations</t>
  </si>
  <si>
    <t>City of Globe-Various Locations</t>
  </si>
  <si>
    <t>GLB</t>
  </si>
  <si>
    <t>203</t>
  </si>
  <si>
    <t>999</t>
  </si>
  <si>
    <t>A</t>
  </si>
  <si>
    <t>TOTAL OF  AMOUNT</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</si>
  <si>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</si>
  <si>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</si>
  <si>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</si>
  <si>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PCG1402P</t>
  </si>
  <si>
    <t>CAG14-01P</t>
  </si>
  <si>
    <t>CAG - STP 2014</t>
  </si>
  <si>
    <t>418</t>
  </si>
  <si>
    <t>SH49701C</t>
  </si>
  <si>
    <t>LOCAL</t>
  </si>
  <si>
    <t>COOLIDGE</t>
  </si>
  <si>
    <t>CITY OF COOLIDGE-CAAG REGION</t>
  </si>
  <si>
    <t>CLG</t>
  </si>
  <si>
    <t>202</t>
  </si>
  <si>
    <t>SH58101C</t>
  </si>
  <si>
    <t>CSG13-01C</t>
  </si>
  <si>
    <t>CASA GRANDE</t>
  </si>
  <si>
    <t>City of Casa Grande-Various locations</t>
  </si>
  <si>
    <t>CSG</t>
  </si>
  <si>
    <t>SS91901C</t>
  </si>
  <si>
    <t>PNL 11-01C</t>
  </si>
  <si>
    <t>PINAL CO-CAG</t>
  </si>
  <si>
    <t>HUNT HWY EMPIRE BLVD TO THOMPSON RD</t>
  </si>
  <si>
    <t>PPN</t>
  </si>
  <si>
    <t>205</t>
  </si>
  <si>
    <t>SH48701C</t>
  </si>
  <si>
    <t>TOWN OF QUEEN CREEK - CAG REGION</t>
  </si>
  <si>
    <t>QCR</t>
  </si>
  <si>
    <t>210</t>
  </si>
  <si>
    <t>000</t>
  </si>
  <si>
    <t>TRAFFIC CONTROL WARNING SIGNS - PAYSON</t>
  </si>
  <si>
    <t>SIGN AND PAVEMENT MARKINGS INVENTORY - GLOBE</t>
  </si>
  <si>
    <t>SH61703D</t>
  </si>
  <si>
    <t>COLLECTOR STRIPING UPGRADE, PAYSON</t>
  </si>
  <si>
    <t>SZ11601C</t>
  </si>
  <si>
    <t>GIL13-01C</t>
  </si>
  <si>
    <t>OAK CRK BR. - EWING TRAIL ACROSS OAK CRK, GILA CTY</t>
  </si>
  <si>
    <t>GGI</t>
  </si>
  <si>
    <t>212</t>
  </si>
  <si>
    <t>From</t>
  </si>
  <si>
    <t>TO</t>
  </si>
  <si>
    <t>PROJECT8</t>
  </si>
  <si>
    <t>NOTES</t>
  </si>
  <si>
    <t>DECLINING BALANCE OA</t>
  </si>
  <si>
    <t>The  OA to apportionments for FFY 14 is  NOW 94.9%. Congress has provided the remainder of the OA for the federal fiscal year. As of 2/28/14 previous ledgers were estimating OA at 95.5%.</t>
  </si>
  <si>
    <t>P0CAG20P</t>
  </si>
  <si>
    <t>72914</t>
  </si>
  <si>
    <t>Centeral Association of Goverments</t>
  </si>
  <si>
    <t>I</t>
  </si>
  <si>
    <t>184</t>
  </si>
  <si>
    <t>RLTAP19P</t>
  </si>
  <si>
    <t>ADOT</t>
  </si>
  <si>
    <t>AZ LTAP</t>
  </si>
  <si>
    <t>094</t>
  </si>
  <si>
    <t>420</t>
  </si>
  <si>
    <t>PCG1003P</t>
  </si>
  <si>
    <t>FV</t>
  </si>
  <si>
    <t>STATEWIDE,CENTRAL ARIZONA ASSOC OF GOVT (CAAG)</t>
  </si>
  <si>
    <t>288</t>
  </si>
  <si>
    <t>P0CAG19P</t>
  </si>
  <si>
    <t>72913</t>
  </si>
  <si>
    <t>182</t>
  </si>
  <si>
    <t>PCG1001P</t>
  </si>
  <si>
    <t>STATEWIDE, CENTRAL ARIZONA ASSOC OF GOVT (CAAG)-----</t>
  </si>
  <si>
    <t>276</t>
  </si>
  <si>
    <t>SL69202D</t>
  </si>
  <si>
    <t>GIL 09-01T</t>
  </si>
  <si>
    <t xml:space="preserve">GILA COUNTY                   </t>
  </si>
  <si>
    <t>NEW SIDEWALKS-MAIN ST.-US60 TO GOLDEN HILL RD.</t>
  </si>
  <si>
    <t>207</t>
  </si>
  <si>
    <t>QUEEN CREEK - CAG</t>
  </si>
  <si>
    <t>2014</t>
  </si>
  <si>
    <t>CAG-T002</t>
  </si>
  <si>
    <t>SUNMPO</t>
  </si>
  <si>
    <t>SZ130</t>
  </si>
  <si>
    <t>STP Transfer to SCMPO from SUNMPO</t>
  </si>
  <si>
    <t>VARIOUS / CAG 14-02P</t>
  </si>
  <si>
    <t>PAY 14-01C</t>
  </si>
  <si>
    <t>PAY 14-02C</t>
  </si>
  <si>
    <t>CAAG/AMENDMENT #3 2011</t>
  </si>
  <si>
    <t>CLG 11-01S</t>
  </si>
  <si>
    <t>SH61501D</t>
  </si>
  <si>
    <t>206</t>
  </si>
  <si>
    <t>SZ06803D</t>
  </si>
  <si>
    <t>PAY13-01D,02D,03D</t>
  </si>
  <si>
    <t>East Bonita St., SR 87 to Phillip St. -Payson AZ</t>
  </si>
  <si>
    <t>SZ15003D</t>
  </si>
  <si>
    <t>GLB 14-02D</t>
  </si>
  <si>
    <t>OAK ST - US 60 TO 1ST ST AND HILL ST - GLOBE</t>
  </si>
  <si>
    <t>SZ15103D</t>
  </si>
  <si>
    <t>GLB 14-01D</t>
  </si>
  <si>
    <t>BROAD ST - E. MESQUITE TO E. COTTONWOOD - GLOBE</t>
  </si>
  <si>
    <t>H874001D</t>
  </si>
  <si>
    <t>SCA 13-02D</t>
  </si>
  <si>
    <t>US 70 / BIA 6 Intersection Improvement</t>
  </si>
  <si>
    <t>070</t>
  </si>
  <si>
    <t>SH61501C</t>
  </si>
  <si>
    <t>216</t>
  </si>
  <si>
    <t>SH61601D</t>
  </si>
  <si>
    <t>GLB14-01C</t>
  </si>
  <si>
    <t>SH61701C</t>
  </si>
  <si>
    <t>PCAHS02P</t>
  </si>
  <si>
    <t>CAG HWY SAFETY IMPROV PROG</t>
  </si>
  <si>
    <t>455</t>
  </si>
  <si>
    <t>PCAHS01P</t>
  </si>
  <si>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</si>
  <si>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</si>
  <si>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Central Arizona Goverments</t>
  </si>
  <si>
    <t>To</t>
  </si>
  <si>
    <t>Project8</t>
  </si>
  <si>
    <t>Notes</t>
  </si>
  <si>
    <t>SH48601C</t>
  </si>
  <si>
    <t>GILA COUNTY VARIOUS RURAL ROADS PAVEMENT MARKINGS</t>
  </si>
  <si>
    <t>209</t>
  </si>
  <si>
    <t>SS98101C</t>
  </si>
  <si>
    <t>GILA COUNTY VARIOUS ROADS: THERMOPLASTIC STRIPING</t>
  </si>
  <si>
    <t>Lapsing</t>
  </si>
  <si>
    <t>CAG14-LP01</t>
  </si>
  <si>
    <t>CAG LAPSING FUNDS - FFY14</t>
  </si>
  <si>
    <t>"Lapsing" represent Obligation Authority and Approtionments that were not used by the region prior to June 30th.  See the Apportionment and OA Transfer tables for transaction detail.</t>
  </si>
  <si>
    <t>APPORTIONMENT LOANS, REPAYMENTS AND TRANSFERS /see Notes 7 - 13</t>
  </si>
  <si>
    <t>OA LOANS, REPAYMENTS AND TRANSFERS /see Notes 7 - 13</t>
  </si>
  <si>
    <r>
      <t xml:space="preserve">FFY Total Available 
</t>
    </r>
    <r>
      <rPr>
        <b/>
        <sz val="9"/>
        <color rgb="FFFF0000"/>
        <rFont val="Arial Unicode MS"/>
        <family val="2"/>
      </rPr>
      <t xml:space="preserve">**LAPSES ON 6/30** </t>
    </r>
    <r>
      <rPr>
        <sz val="9"/>
        <rFont val="Arial Unicode MS"/>
        <family val="2"/>
      </rPr>
      <t>/14</t>
    </r>
  </si>
  <si>
    <t>AUTHORIZED FINANCE ACTIONS /15</t>
  </si>
  <si>
    <t>Processing Status /17</t>
  </si>
  <si>
    <t>LAPSING FUNDS /18</t>
  </si>
  <si>
    <t>Planned Lapsing - 06/30/14</t>
  </si>
  <si>
    <t>Lapsed - 07/01/14</t>
  </si>
  <si>
    <t>Planned Lapsing - 09/30/14</t>
  </si>
  <si>
    <t>P0CAG21P</t>
  </si>
  <si>
    <t>72915</t>
  </si>
  <si>
    <t>186</t>
  </si>
  <si>
    <t>Loan Out</t>
  </si>
  <si>
    <t>CAG-L001</t>
  </si>
  <si>
    <t>2015</t>
  </si>
  <si>
    <t>SZ153</t>
  </si>
  <si>
    <t>CAG OA LOAN TO ADOT</t>
  </si>
  <si>
    <t>Repayment In</t>
  </si>
  <si>
    <t>Federal Aid Transaction Ledger
Federal Fiscal Year 2014</t>
  </si>
  <si>
    <t>Year ending 09/30/2014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</si>
</sst>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b/>
      <sz val="14"/>
      <color theme="1"/>
      <name val="Arial Unicode MS"/>
      <family val="2"/>
    </font>
    <font>
      <sz val="11"/>
      <color theme="1"/>
      <name val="Arial Unicode MS"/>
      <family val="2"/>
    </font>
    <font>
      <b/>
      <sz val="16"/>
      <color rgb="FFFF0000"/>
      <name val="Arial Unicode MS"/>
      <family val="2"/>
    </font>
    <font>
      <b/>
      <sz val="11"/>
      <color theme="1"/>
      <name val="Arial Unicode MS"/>
      <family val="2"/>
    </font>
    <font>
      <sz val="10"/>
      <color theme="0"/>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sz val="9"/>
      <color theme="1"/>
      <name val="Arial Unicode MS"/>
      <family val="2"/>
    </font>
    <font>
      <sz val="9"/>
      <name val="Arial Unicode MS"/>
      <family val="2"/>
    </font>
    <font>
      <b/>
      <sz val="11"/>
      <name val="Arial Unicode MS"/>
      <family val="2"/>
    </font>
    <font>
      <sz val="9"/>
      <color theme="1"/>
      <name val="Arial Unicode MS"/>
      <family val="2"/>
    </font>
    <font>
      <sz val="9"/>
      <name val="Arial Unicode MS"/>
      <family val="2"/>
    </font>
    <font>
      <sz val="11"/>
      <color theme="1"/>
      <name val="Calibri"/>
      <family val="2"/>
      <scheme val="minor"/>
    </font>
    <font>
      <sz val="9"/>
      <name val="Arial Unicode MS"/>
      <family val="2"/>
    </font>
    <font>
      <sz val="9"/>
      <color theme="1"/>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DD9C4"/>
        <bgColor indexed="64"/>
      </patternFill>
    </fill>
    <fill>
      <patternFill patternType="solid">
        <fgColor rgb="FFDDD9C4"/>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13">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5" fillId="0" borderId="0" xfId="0" applyFont="1" applyAlignment="1">
      <alignment vertical="top" wrapText="1"/>
    </xf>
    <xf numFmtId="14" fontId="15" fillId="0" borderId="0" xfId="0" applyNumberFormat="1" applyFont="1" applyAlignment="1">
      <alignment vertical="top" wrapText="1"/>
    </xf>
    <xf numFmtId="14" fontId="16" fillId="0" borderId="0" xfId="0" applyNumberFormat="1" applyFont="1" applyAlignment="1">
      <alignment horizontal="center" vertical="center" wrapText="1"/>
    </xf>
    <xf numFmtId="40" fontId="15" fillId="0" borderId="0" xfId="0" applyNumberFormat="1" applyFont="1" applyAlignment="1">
      <alignment vertical="top" wrapText="1"/>
    </xf>
    <xf numFmtId="40" fontId="15" fillId="0" borderId="0" xfId="1" applyNumberFormat="1" applyFont="1" applyAlignment="1">
      <alignment vertical="top" wrapText="1"/>
    </xf>
    <xf numFmtId="0" fontId="17" fillId="0" borderId="0" xfId="0" applyFont="1" applyAlignment="1">
      <alignment vertical="top" wrapText="1"/>
    </xf>
    <xf numFmtId="40" fontId="21" fillId="2" borderId="19" xfId="1" applyNumberFormat="1" applyFont="1" applyFill="1" applyBorder="1" applyAlignment="1">
      <alignment horizontal="center" vertical="center" wrapText="1"/>
    </xf>
    <xf numFmtId="0" fontId="17" fillId="0" borderId="0" xfId="0" applyFont="1" applyAlignment="1">
      <alignment horizontal="left" vertical="top" wrapText="1"/>
    </xf>
    <xf numFmtId="40" fontId="22" fillId="0" borderId="3" xfId="0" applyNumberFormat="1" applyFont="1" applyFill="1" applyBorder="1" applyAlignment="1">
      <alignment horizontal="right" vertical="top" wrapText="1"/>
    </xf>
    <xf numFmtId="40" fontId="22" fillId="0" borderId="1" xfId="0" applyNumberFormat="1" applyFont="1" applyFill="1" applyBorder="1" applyAlignment="1">
      <alignment horizontal="right" vertical="top" wrapText="1"/>
    </xf>
    <xf numFmtId="40" fontId="22" fillId="0" borderId="4" xfId="0" applyNumberFormat="1" applyFont="1" applyFill="1" applyBorder="1" applyAlignment="1">
      <alignment horizontal="right" vertical="top" wrapText="1"/>
    </xf>
    <xf numFmtId="49" fontId="15" fillId="0" borderId="0" xfId="1" applyNumberFormat="1" applyFont="1" applyAlignment="1">
      <alignment vertical="top" wrapText="1"/>
    </xf>
    <xf numFmtId="40" fontId="22" fillId="0" borderId="3" xfId="0" applyNumberFormat="1" applyFont="1" applyFill="1" applyBorder="1" applyAlignment="1">
      <alignment vertical="top" wrapText="1"/>
    </xf>
    <xf numFmtId="40" fontId="26" fillId="0" borderId="0" xfId="0" applyNumberFormat="1" applyFont="1" applyFill="1" applyBorder="1" applyAlignment="1">
      <alignment vertical="top" wrapText="1"/>
    </xf>
    <xf numFmtId="14" fontId="15" fillId="0" borderId="0" xfId="0" applyNumberFormat="1" applyFont="1" applyAlignment="1">
      <alignment horizontal="left" vertical="center" wrapText="1"/>
    </xf>
    <xf numFmtId="0" fontId="15" fillId="0" borderId="0" xfId="0" applyFont="1" applyAlignment="1">
      <alignment horizontal="left" vertical="top" wrapText="1"/>
    </xf>
    <xf numFmtId="40" fontId="28" fillId="0" borderId="3" xfId="0" applyNumberFormat="1" applyFont="1" applyFill="1" applyBorder="1" applyAlignment="1">
      <alignment horizontal="right" vertical="top" wrapText="1"/>
    </xf>
    <xf numFmtId="40" fontId="28" fillId="0" borderId="1" xfId="0" applyNumberFormat="1" applyFont="1" applyFill="1" applyBorder="1" applyAlignment="1">
      <alignment horizontal="right" vertical="top" wrapText="1"/>
    </xf>
    <xf numFmtId="40" fontId="25" fillId="0" borderId="0" xfId="0" applyNumberFormat="1" applyFont="1" applyBorder="1" applyAlignment="1">
      <alignment horizontal="left" vertical="top" wrapText="1"/>
    </xf>
    <xf numFmtId="40" fontId="25" fillId="0" borderId="0" xfId="0" applyNumberFormat="1" applyFont="1" applyFill="1" applyBorder="1" applyAlignment="1">
      <alignment horizontal="right" vertical="top" wrapText="1"/>
    </xf>
    <xf numFmtId="40" fontId="17" fillId="0" borderId="0" xfId="0" applyNumberFormat="1" applyFont="1" applyBorder="1" applyAlignment="1">
      <alignment vertical="top" wrapText="1"/>
    </xf>
    <xf numFmtId="40" fontId="26" fillId="0" borderId="0" xfId="0" applyNumberFormat="1" applyFont="1" applyBorder="1" applyAlignment="1">
      <alignment vertical="top" wrapText="1"/>
    </xf>
    <xf numFmtId="40" fontId="20" fillId="0" borderId="0" xfId="0" applyNumberFormat="1" applyFont="1" applyBorder="1" applyAlignment="1">
      <alignment horizontal="center" vertical="center" wrapText="1"/>
    </xf>
    <xf numFmtId="40" fontId="19" fillId="0" borderId="0" xfId="0" applyNumberFormat="1" applyFont="1" applyBorder="1" applyAlignment="1">
      <alignment horizontal="center" vertical="center" wrapText="1"/>
    </xf>
    <xf numFmtId="40" fontId="31" fillId="0" borderId="0" xfId="0" applyNumberFormat="1" applyFont="1" applyBorder="1" applyAlignment="1">
      <alignment horizontal="center" vertical="center" wrapText="1"/>
    </xf>
    <xf numFmtId="40" fontId="29" fillId="0" borderId="1" xfId="0" applyNumberFormat="1" applyFont="1" applyBorder="1" applyAlignment="1">
      <alignment horizontal="left" vertical="top" wrapText="1"/>
    </xf>
    <xf numFmtId="40" fontId="29" fillId="0" borderId="1" xfId="0" applyNumberFormat="1" applyFont="1" applyBorder="1" applyAlignment="1">
      <alignment horizontal="center" vertical="top" wrapText="1"/>
    </xf>
    <xf numFmtId="0" fontId="15" fillId="0" borderId="0" xfId="0" applyFont="1" applyBorder="1" applyAlignment="1">
      <alignment vertical="top" wrapText="1"/>
    </xf>
    <xf numFmtId="14" fontId="15" fillId="0" borderId="0" xfId="0" applyNumberFormat="1" applyFont="1" applyBorder="1" applyAlignment="1">
      <alignment vertical="top" wrapText="1"/>
    </xf>
    <xf numFmtId="40" fontId="15" fillId="0" borderId="0" xfId="0" applyNumberFormat="1" applyFont="1" applyBorder="1" applyAlignment="1">
      <alignment vertical="top" wrapText="1"/>
    </xf>
    <xf numFmtId="0" fontId="22" fillId="0" borderId="0" xfId="0" applyFont="1" applyBorder="1" applyAlignment="1">
      <alignment vertical="top" wrapText="1"/>
    </xf>
    <xf numFmtId="0" fontId="22" fillId="0" borderId="0" xfId="0" applyFont="1" applyBorder="1" applyAlignment="1">
      <alignment horizontal="center" vertical="center" wrapText="1"/>
    </xf>
    <xf numFmtId="14" fontId="22" fillId="0" borderId="0" xfId="0" applyNumberFormat="1" applyFont="1" applyBorder="1" applyAlignment="1">
      <alignment horizontal="center" vertical="center" wrapText="1"/>
    </xf>
    <xf numFmtId="14" fontId="28" fillId="0" borderId="5" xfId="0" applyNumberFormat="1" applyFont="1" applyBorder="1" applyAlignment="1">
      <alignment horizontal="right" vertical="top" wrapText="1"/>
    </xf>
    <xf numFmtId="14" fontId="20" fillId="0" borderId="0" xfId="0" applyNumberFormat="1" applyFont="1" applyBorder="1" applyAlignment="1">
      <alignment horizontal="center" vertical="center" wrapText="1"/>
    </xf>
    <xf numFmtId="14" fontId="28" fillId="0" borderId="1" xfId="0" applyNumberFormat="1" applyFont="1" applyBorder="1" applyAlignment="1">
      <alignment horizontal="right" vertical="top" wrapText="1"/>
    </xf>
    <xf numFmtId="14" fontId="19" fillId="0" borderId="0" xfId="0" applyNumberFormat="1" applyFont="1" applyBorder="1" applyAlignment="1">
      <alignment horizontal="center" vertical="center" wrapText="1"/>
    </xf>
    <xf numFmtId="14" fontId="25" fillId="0" borderId="0" xfId="0" applyNumberFormat="1" applyFont="1" applyBorder="1" applyAlignment="1">
      <alignment horizontal="right" vertical="top" wrapText="1"/>
    </xf>
    <xf numFmtId="0" fontId="26" fillId="0" borderId="0" xfId="0" applyFont="1" applyBorder="1" applyAlignment="1">
      <alignment vertical="top" wrapText="1"/>
    </xf>
    <xf numFmtId="0" fontId="26" fillId="0" borderId="0" xfId="0" applyFont="1" applyBorder="1" applyAlignment="1">
      <alignment horizontal="center" vertical="center" wrapText="1"/>
    </xf>
    <xf numFmtId="14" fontId="26" fillId="0" borderId="0" xfId="0" applyNumberFormat="1" applyFont="1" applyBorder="1" applyAlignment="1">
      <alignment horizontal="center" vertical="center" wrapText="1"/>
    </xf>
    <xf numFmtId="14" fontId="26" fillId="0" borderId="0" xfId="0" applyNumberFormat="1" applyFont="1" applyBorder="1"/>
    <xf numFmtId="40" fontId="26" fillId="0" borderId="0" xfId="0" applyNumberFormat="1" applyFont="1" applyBorder="1"/>
    <xf numFmtId="14" fontId="22" fillId="0" borderId="8" xfId="0" applyNumberFormat="1" applyFont="1" applyBorder="1" applyAlignment="1">
      <alignment horizontal="center" vertical="center" wrapText="1"/>
    </xf>
    <xf numFmtId="14" fontId="22" fillId="0" borderId="5" xfId="0" applyNumberFormat="1" applyFont="1" applyBorder="1" applyAlignment="1">
      <alignment horizontal="center" vertical="center" wrapText="1"/>
    </xf>
    <xf numFmtId="40" fontId="22" fillId="0" borderId="5" xfId="0" applyNumberFormat="1" applyFont="1" applyBorder="1" applyAlignment="1">
      <alignment horizontal="center" vertical="center" wrapText="1"/>
    </xf>
    <xf numFmtId="40" fontId="28" fillId="0" borderId="5" xfId="0" applyNumberFormat="1" applyFont="1" applyBorder="1" applyAlignment="1">
      <alignment horizontal="center" vertical="center" wrapText="1"/>
    </xf>
    <xf numFmtId="0" fontId="22" fillId="0" borderId="11" xfId="0" applyFont="1" applyBorder="1" applyAlignment="1">
      <alignment vertical="top" wrapText="1"/>
    </xf>
    <xf numFmtId="0" fontId="22" fillId="0" borderId="6" xfId="0" applyFont="1" applyBorder="1" applyAlignment="1">
      <alignment vertical="top" wrapText="1"/>
    </xf>
    <xf numFmtId="14" fontId="22" fillId="0" borderId="6" xfId="0" applyNumberFormat="1" applyFont="1" applyBorder="1" applyAlignment="1">
      <alignment vertical="top" wrapText="1"/>
    </xf>
    <xf numFmtId="14" fontId="22" fillId="0" borderId="0" xfId="0" applyNumberFormat="1" applyFont="1" applyBorder="1" applyAlignment="1">
      <alignment vertical="top" wrapText="1"/>
    </xf>
    <xf numFmtId="40" fontId="22" fillId="0" borderId="0" xfId="0" applyNumberFormat="1" applyFont="1" applyBorder="1" applyAlignment="1">
      <alignment vertical="top" wrapText="1"/>
    </xf>
    <xf numFmtId="0" fontId="21" fillId="0" borderId="0" xfId="0" applyFont="1" applyAlignment="1">
      <alignment horizontal="left" vertical="top" wrapText="1"/>
    </xf>
    <xf numFmtId="0" fontId="30" fillId="0" borderId="0" xfId="0" applyFont="1" applyAlignment="1">
      <alignment horizontal="left" vertical="top"/>
    </xf>
    <xf numFmtId="14" fontId="25" fillId="0" borderId="0" xfId="0" applyNumberFormat="1" applyFont="1" applyBorder="1" applyAlignment="1">
      <alignment vertical="top" wrapText="1"/>
    </xf>
    <xf numFmtId="40" fontId="21" fillId="2" borderId="9" xfId="0" applyNumberFormat="1" applyFont="1" applyFill="1" applyBorder="1" applyAlignment="1">
      <alignment horizontal="center" vertical="center" wrapText="1"/>
    </xf>
    <xf numFmtId="40" fontId="21" fillId="0" borderId="8" xfId="0" applyNumberFormat="1" applyFont="1" applyBorder="1" applyAlignment="1">
      <alignment horizontal="center" vertical="center" wrapText="1"/>
    </xf>
    <xf numFmtId="40" fontId="21" fillId="0" borderId="5" xfId="0" applyNumberFormat="1" applyFont="1" applyBorder="1" applyAlignment="1">
      <alignment horizontal="center" vertical="center" wrapText="1"/>
    </xf>
    <xf numFmtId="14" fontId="21" fillId="0" borderId="5" xfId="0" applyNumberFormat="1" applyFont="1" applyBorder="1" applyAlignment="1">
      <alignment horizontal="center" vertical="center" wrapText="1"/>
    </xf>
    <xf numFmtId="0" fontId="32" fillId="0" borderId="0" xfId="0" applyFont="1" applyAlignment="1">
      <alignment horizontal="center" vertical="center" wrapText="1"/>
    </xf>
    <xf numFmtId="40" fontId="31" fillId="5" borderId="6" xfId="0" applyNumberFormat="1" applyFont="1" applyFill="1" applyBorder="1" applyAlignment="1">
      <alignment horizontal="center" vertical="center" wrapText="1"/>
    </xf>
    <xf numFmtId="43" fontId="0" fillId="0" borderId="1" xfId="3" applyFont="1" applyBorder="1"/>
    <xf numFmtId="43" fontId="13" fillId="0" borderId="1" xfId="3" applyFont="1" applyBorder="1"/>
    <xf numFmtId="43" fontId="13" fillId="0" borderId="8" xfId="3" applyFont="1" applyBorder="1"/>
    <xf numFmtId="43" fontId="13" fillId="0" borderId="5" xfId="3" applyFont="1" applyBorder="1"/>
    <xf numFmtId="43" fontId="13" fillId="0" borderId="9" xfId="3" applyFont="1" applyBorder="1"/>
    <xf numFmtId="43" fontId="0" fillId="0" borderId="10" xfId="3" applyFont="1" applyBorder="1"/>
    <xf numFmtId="43" fontId="0" fillId="0" borderId="2" xfId="3" applyFont="1" applyBorder="1"/>
    <xf numFmtId="43" fontId="13" fillId="0" borderId="10" xfId="3" applyFont="1" applyBorder="1"/>
    <xf numFmtId="43" fontId="13" fillId="0" borderId="2" xfId="3" applyFont="1" applyBorder="1"/>
    <xf numFmtId="43" fontId="13" fillId="0" borderId="11" xfId="3" applyFont="1" applyBorder="1"/>
    <xf numFmtId="43" fontId="13" fillId="0" borderId="6" xfId="3" applyFont="1" applyBorder="1"/>
    <xf numFmtId="43" fontId="13" fillId="0" borderId="7" xfId="3" applyFont="1" applyBorder="1"/>
    <xf numFmtId="40" fontId="18" fillId="0" borderId="0" xfId="0" applyNumberFormat="1" applyFont="1" applyBorder="1" applyAlignment="1">
      <alignment vertical="top" wrapText="1"/>
    </xf>
    <xf numFmtId="14" fontId="25" fillId="2" borderId="1" xfId="0" applyNumberFormat="1" applyFont="1" applyFill="1" applyBorder="1" applyAlignment="1">
      <alignment horizontal="center" vertical="center" wrapText="1"/>
    </xf>
    <xf numFmtId="14" fontId="21" fillId="0" borderId="9" xfId="1" applyNumberFormat="1" applyFont="1" applyFill="1" applyBorder="1" applyAlignment="1">
      <alignment horizontal="center" vertical="center" wrapText="1"/>
    </xf>
    <xf numFmtId="40" fontId="21" fillId="0" borderId="17" xfId="1" applyNumberFormat="1" applyFont="1" applyFill="1" applyBorder="1" applyAlignment="1">
      <alignment horizontal="center" vertical="center" wrapText="1"/>
    </xf>
    <xf numFmtId="40" fontId="21" fillId="0" borderId="5" xfId="1" applyNumberFormat="1" applyFont="1" applyFill="1" applyBorder="1" applyAlignment="1">
      <alignment horizontal="center" vertical="center" wrapText="1"/>
    </xf>
    <xf numFmtId="40" fontId="21" fillId="0" borderId="18" xfId="1" applyNumberFormat="1" applyFont="1" applyFill="1" applyBorder="1" applyAlignment="1">
      <alignment horizontal="center" vertical="center" wrapText="1"/>
    </xf>
    <xf numFmtId="40" fontId="22" fillId="0" borderId="3" xfId="0" applyNumberFormat="1" applyFont="1" applyBorder="1" applyAlignment="1">
      <alignment horizontal="right" vertical="top" wrapText="1"/>
    </xf>
    <xf numFmtId="40" fontId="22" fillId="0" borderId="1" xfId="0" applyNumberFormat="1" applyFont="1" applyBorder="1" applyAlignment="1">
      <alignment horizontal="right" vertical="top" wrapText="1"/>
    </xf>
    <xf numFmtId="40" fontId="22" fillId="0" borderId="4" xfId="0" applyNumberFormat="1" applyFont="1" applyBorder="1" applyAlignment="1">
      <alignment horizontal="right" vertical="top" wrapText="1"/>
    </xf>
    <xf numFmtId="14" fontId="29" fillId="2" borderId="9" xfId="0" applyNumberFormat="1" applyFont="1" applyFill="1" applyBorder="1" applyAlignment="1">
      <alignment horizontal="center" vertical="center" wrapText="1"/>
    </xf>
    <xf numFmtId="14" fontId="22" fillId="0" borderId="2" xfId="0" applyNumberFormat="1" applyFont="1" applyBorder="1" applyAlignment="1">
      <alignment horizontal="left" vertical="top" wrapText="1"/>
    </xf>
    <xf numFmtId="14" fontId="22" fillId="0" borderId="2" xfId="0" applyNumberFormat="1" applyFont="1" applyFill="1" applyBorder="1" applyAlignment="1">
      <alignment horizontal="left" vertical="top" wrapText="1"/>
    </xf>
    <xf numFmtId="14" fontId="28" fillId="0" borderId="2" xfId="0" applyNumberFormat="1" applyFont="1" applyBorder="1" applyAlignment="1">
      <alignment horizontal="left" vertical="top" wrapText="1"/>
    </xf>
    <xf numFmtId="43" fontId="13" fillId="0" borderId="0" xfId="3" applyFont="1" applyBorder="1"/>
    <xf numFmtId="14" fontId="22" fillId="0" borderId="1" xfId="0" applyNumberFormat="1" applyFont="1" applyBorder="1" applyAlignment="1">
      <alignment horizontal="right"/>
    </xf>
    <xf numFmtId="40" fontId="34" fillId="0" borderId="6" xfId="0" applyNumberFormat="1" applyFont="1" applyBorder="1" applyAlignment="1">
      <alignment horizontal="left" vertical="top" wrapText="1"/>
    </xf>
    <xf numFmtId="40" fontId="34" fillId="0" borderId="6" xfId="0" applyNumberFormat="1" applyFont="1" applyBorder="1" applyAlignment="1">
      <alignment horizontal="center" vertical="top" wrapText="1"/>
    </xf>
    <xf numFmtId="14" fontId="33" fillId="0" borderId="6" xfId="0" applyNumberFormat="1" applyFont="1" applyBorder="1" applyAlignment="1">
      <alignment horizontal="right"/>
    </xf>
    <xf numFmtId="40" fontId="29" fillId="0" borderId="0" xfId="0" applyNumberFormat="1" applyFont="1" applyBorder="1" applyAlignment="1">
      <alignment horizontal="right" vertical="top" wrapText="1"/>
    </xf>
    <xf numFmtId="0" fontId="22" fillId="0" borderId="0" xfId="0" applyFont="1" applyAlignment="1">
      <alignment vertical="top" wrapText="1"/>
    </xf>
    <xf numFmtId="40" fontId="22" fillId="0" borderId="0" xfId="0" applyNumberFormat="1" applyFont="1" applyBorder="1" applyAlignment="1">
      <alignment horizontal="right" vertical="top" wrapText="1"/>
    </xf>
    <xf numFmtId="40" fontId="21" fillId="0" borderId="0" xfId="0" applyNumberFormat="1" applyFont="1" applyFill="1" applyBorder="1" applyAlignment="1">
      <alignment horizontal="center" vertical="center" wrapText="1"/>
    </xf>
    <xf numFmtId="40" fontId="29" fillId="0" borderId="6" xfId="0" applyNumberFormat="1" applyFont="1" applyBorder="1" applyAlignment="1">
      <alignment horizontal="left" vertical="top" wrapText="1"/>
    </xf>
    <xf numFmtId="40" fontId="29" fillId="0" borderId="6" xfId="0" applyNumberFormat="1" applyFont="1" applyBorder="1" applyAlignment="1">
      <alignment horizontal="center" vertical="top" wrapText="1"/>
    </xf>
    <xf numFmtId="14" fontId="22" fillId="0" borderId="6" xfId="0" applyNumberFormat="1" applyFont="1" applyBorder="1" applyAlignment="1">
      <alignment horizontal="right"/>
    </xf>
    <xf numFmtId="164" fontId="22" fillId="0" borderId="1" xfId="0" applyNumberFormat="1" applyFont="1" applyBorder="1" applyAlignment="1">
      <alignment horizontal="right"/>
    </xf>
    <xf numFmtId="164" fontId="22" fillId="0" borderId="6" xfId="0" applyNumberFormat="1" applyFont="1" applyBorder="1" applyAlignment="1">
      <alignment horizontal="right"/>
    </xf>
    <xf numFmtId="40" fontId="29" fillId="0" borderId="20" xfId="0" applyNumberFormat="1" applyFont="1" applyBorder="1" applyAlignment="1">
      <alignment horizontal="left" vertical="top" wrapText="1"/>
    </xf>
    <xf numFmtId="40" fontId="29" fillId="0" borderId="20" xfId="0" applyNumberFormat="1" applyFont="1" applyBorder="1" applyAlignment="1">
      <alignment horizontal="center" vertical="top" wrapText="1"/>
    </xf>
    <xf numFmtId="14" fontId="22" fillId="0" borderId="20" xfId="0" applyNumberFormat="1" applyFont="1" applyBorder="1" applyAlignment="1">
      <alignment horizontal="right"/>
    </xf>
    <xf numFmtId="40" fontId="22" fillId="0" borderId="21" xfId="0" applyNumberFormat="1" applyFont="1" applyFill="1" applyBorder="1" applyAlignment="1">
      <alignment vertical="top" wrapText="1"/>
    </xf>
    <xf numFmtId="40" fontId="22" fillId="0" borderId="1" xfId="0" applyNumberFormat="1" applyFont="1" applyFill="1" applyBorder="1" applyAlignment="1">
      <alignment vertical="top" wrapText="1"/>
    </xf>
    <xf numFmtId="14" fontId="24" fillId="0" borderId="0" xfId="0" applyNumberFormat="1" applyFont="1" applyBorder="1" applyAlignment="1">
      <alignment horizontal="right" vertical="top"/>
    </xf>
    <xf numFmtId="14" fontId="28" fillId="0" borderId="0" xfId="0" applyNumberFormat="1" applyFont="1" applyBorder="1" applyAlignment="1">
      <alignment horizontal="right" vertical="top"/>
    </xf>
    <xf numFmtId="43" fontId="0" fillId="0" borderId="5" xfId="3" applyFont="1" applyBorder="1"/>
    <xf numFmtId="43" fontId="0" fillId="0" borderId="9" xfId="3" applyFont="1" applyBorder="1"/>
    <xf numFmtId="43" fontId="0" fillId="0" borderId="8" xfId="3" applyFont="1" applyBorder="1"/>
    <xf numFmtId="14" fontId="0" fillId="0" borderId="0" xfId="3" applyNumberFormat="1" applyFont="1" applyAlignment="1">
      <alignment vertical="center" wrapText="1"/>
    </xf>
    <xf numFmtId="0" fontId="0" fillId="0" borderId="0" xfId="0" applyAlignment="1">
      <alignment horizontal="left" vertical="top" wrapText="1"/>
    </xf>
    <xf numFmtId="40" fontId="37" fillId="0" borderId="1" xfId="0" applyNumberFormat="1" applyFont="1" applyBorder="1" applyAlignment="1">
      <alignment horizontal="left" vertical="top" wrapText="1"/>
    </xf>
    <xf numFmtId="40" fontId="37" fillId="0" borderId="6" xfId="0" applyNumberFormat="1" applyFont="1" applyBorder="1" applyAlignment="1">
      <alignment horizontal="left" vertical="top" wrapText="1"/>
    </xf>
    <xf numFmtId="40" fontId="37" fillId="0" borderId="1" xfId="0" applyNumberFormat="1" applyFont="1" applyBorder="1" applyAlignment="1">
      <alignment horizontal="center" vertical="top" wrapText="1"/>
    </xf>
    <xf numFmtId="40" fontId="37" fillId="0" borderId="6" xfId="0" applyNumberFormat="1" applyFont="1" applyBorder="1" applyAlignment="1">
      <alignment horizontal="center" vertical="top" wrapText="1"/>
    </xf>
    <xf numFmtId="14" fontId="36" fillId="0" borderId="1" xfId="0" applyNumberFormat="1" applyFont="1" applyBorder="1" applyAlignment="1">
      <alignment horizontal="right"/>
    </xf>
    <xf numFmtId="14" fontId="36" fillId="0" borderId="6" xfId="0" applyNumberFormat="1" applyFont="1" applyBorder="1" applyAlignment="1">
      <alignment horizontal="right"/>
    </xf>
    <xf numFmtId="43" fontId="38" fillId="0" borderId="11" xfId="3" applyFont="1" applyBorder="1"/>
    <xf numFmtId="43" fontId="38" fillId="0" borderId="6" xfId="3" applyFont="1" applyBorder="1"/>
    <xf numFmtId="43" fontId="38" fillId="0" borderId="7" xfId="3" applyFont="1" applyBorder="1"/>
    <xf numFmtId="43" fontId="38" fillId="0" borderId="20" xfId="3" applyFont="1" applyBorder="1"/>
    <xf numFmtId="43" fontId="0" fillId="0" borderId="23" xfId="3" applyFont="1" applyBorder="1"/>
    <xf numFmtId="43" fontId="0" fillId="0" borderId="20" xfId="3" applyFont="1" applyBorder="1"/>
    <xf numFmtId="43" fontId="0" fillId="0" borderId="22" xfId="3" applyFont="1" applyBorder="1"/>
    <xf numFmtId="43" fontId="0" fillId="0" borderId="6" xfId="3" applyFont="1" applyBorder="1"/>
    <xf numFmtId="40" fontId="29" fillId="0" borderId="6" xfId="0" applyNumberFormat="1" applyFont="1" applyFill="1" applyBorder="1" applyAlignment="1">
      <alignment horizontal="right" vertical="center"/>
    </xf>
    <xf numFmtId="40" fontId="22" fillId="0" borderId="1" xfId="0" applyNumberFormat="1" applyFont="1" applyFill="1" applyBorder="1" applyAlignment="1">
      <alignment horizontal="right" vertical="center"/>
    </xf>
    <xf numFmtId="40" fontId="29" fillId="5" borderId="6" xfId="0" applyNumberFormat="1" applyFont="1" applyFill="1" applyBorder="1" applyAlignment="1">
      <alignment horizontal="right" vertical="center"/>
    </xf>
    <xf numFmtId="40" fontId="22" fillId="5" borderId="1" xfId="0" applyNumberFormat="1" applyFont="1" applyFill="1" applyBorder="1" applyAlignment="1">
      <alignment horizontal="right" vertical="center"/>
    </xf>
    <xf numFmtId="40" fontId="22" fillId="0" borderId="1" xfId="0" applyNumberFormat="1" applyFont="1" applyFill="1" applyBorder="1" applyAlignment="1">
      <alignment horizontal="right" vertical="top"/>
    </xf>
    <xf numFmtId="40" fontId="22" fillId="5" borderId="1" xfId="0" applyNumberFormat="1" applyFont="1" applyFill="1" applyBorder="1" applyAlignment="1">
      <alignment vertical="top"/>
    </xf>
    <xf numFmtId="40" fontId="22" fillId="0" borderId="6" xfId="0" applyNumberFormat="1" applyFont="1" applyBorder="1" applyAlignment="1">
      <alignment vertical="top"/>
    </xf>
    <xf numFmtId="40" fontId="29" fillId="0" borderId="1" xfId="3" applyNumberFormat="1" applyFont="1" applyBorder="1" applyAlignment="1">
      <alignment horizontal="right" vertical="top"/>
    </xf>
    <xf numFmtId="43" fontId="22" fillId="0" borderId="7" xfId="0" applyNumberFormat="1" applyFont="1" applyBorder="1" applyAlignment="1">
      <alignment vertical="top"/>
    </xf>
    <xf numFmtId="40" fontId="22" fillId="0" borderId="5" xfId="0" applyNumberFormat="1" applyFont="1" applyBorder="1" applyAlignment="1">
      <alignment horizontal="right" vertical="top"/>
    </xf>
    <xf numFmtId="40" fontId="22" fillId="0" borderId="0" xfId="0" applyNumberFormat="1" applyFont="1" applyBorder="1" applyAlignment="1">
      <alignment vertical="top"/>
    </xf>
    <xf numFmtId="40" fontId="22" fillId="0" borderId="1" xfId="0" applyNumberFormat="1" applyFont="1" applyBorder="1" applyAlignment="1">
      <alignment vertical="top"/>
    </xf>
    <xf numFmtId="0" fontId="22" fillId="0" borderId="0" xfId="0" applyFont="1" applyBorder="1" applyAlignment="1">
      <alignment vertical="top"/>
    </xf>
    <xf numFmtId="43" fontId="29" fillId="0" borderId="1" xfId="3" applyFont="1" applyBorder="1" applyAlignment="1">
      <alignment horizontal="right" vertical="top"/>
    </xf>
    <xf numFmtId="40" fontId="29" fillId="0" borderId="6" xfId="3" applyNumberFormat="1" applyFont="1" applyBorder="1" applyAlignment="1">
      <alignment horizontal="right" vertical="top"/>
    </xf>
    <xf numFmtId="40" fontId="34" fillId="0" borderId="6" xfId="3" applyNumberFormat="1" applyFont="1" applyBorder="1" applyAlignment="1">
      <alignment horizontal="right" vertical="top"/>
    </xf>
    <xf numFmtId="40" fontId="29" fillId="0" borderId="20" xfId="3" applyNumberFormat="1" applyFont="1" applyBorder="1" applyAlignment="1">
      <alignment horizontal="right" vertical="top"/>
    </xf>
    <xf numFmtId="40" fontId="29" fillId="0" borderId="5" xfId="3" applyNumberFormat="1" applyFont="1" applyBorder="1" applyAlignment="1">
      <alignment horizontal="right" vertical="top"/>
    </xf>
    <xf numFmtId="40" fontId="37" fillId="0" borderId="1" xfId="3" applyNumberFormat="1" applyFont="1" applyBorder="1" applyAlignment="1">
      <alignment horizontal="right" vertical="top"/>
    </xf>
    <xf numFmtId="40" fontId="37" fillId="0" borderId="6" xfId="3" applyNumberFormat="1" applyFont="1" applyBorder="1" applyAlignment="1">
      <alignment horizontal="right" vertical="top"/>
    </xf>
    <xf numFmtId="40" fontId="39" fillId="0" borderId="6" xfId="0" applyNumberFormat="1" applyFont="1" applyBorder="1" applyAlignment="1">
      <alignment horizontal="left" vertical="top" wrapText="1"/>
    </xf>
    <xf numFmtId="40" fontId="39" fillId="0" borderId="6" xfId="0" applyNumberFormat="1" applyFont="1" applyBorder="1" applyAlignment="1">
      <alignment horizontal="center" vertical="top" wrapText="1"/>
    </xf>
    <xf numFmtId="14" fontId="40" fillId="0" borderId="6" xfId="0" applyNumberFormat="1" applyFont="1" applyBorder="1" applyAlignment="1">
      <alignment horizontal="right"/>
    </xf>
    <xf numFmtId="40" fontId="39" fillId="0" borderId="6" xfId="3" applyNumberFormat="1" applyFont="1" applyBorder="1" applyAlignment="1">
      <alignment horizontal="right" vertical="top"/>
    </xf>
    <xf numFmtId="40" fontId="22" fillId="0" borderId="6" xfId="0" applyNumberFormat="1" applyFont="1" applyBorder="1" applyAlignment="1">
      <alignment horizontal="right" vertical="top"/>
    </xf>
    <xf numFmtId="43" fontId="0" fillId="0" borderId="11" xfId="3" applyFont="1" applyBorder="1"/>
    <xf numFmtId="43" fontId="0" fillId="0" borderId="7" xfId="3" applyFont="1" applyBorder="1"/>
    <xf numFmtId="40" fontId="25" fillId="0" borderId="12" xfId="0" applyNumberFormat="1" applyFont="1" applyBorder="1" applyAlignment="1">
      <alignment horizontal="center" vertical="top" wrapText="1"/>
    </xf>
    <xf numFmtId="0" fontId="14" fillId="0" borderId="0" xfId="0" applyFont="1" applyAlignment="1">
      <alignment horizontal="left" vertical="top" wrapText="1"/>
    </xf>
    <xf numFmtId="0" fontId="30" fillId="0" borderId="0" xfId="0" applyFont="1" applyAlignment="1">
      <alignment horizontal="left" vertical="top" wrapText="1"/>
    </xf>
    <xf numFmtId="40" fontId="35" fillId="4" borderId="13" xfId="1" applyNumberFormat="1" applyFont="1" applyFill="1" applyBorder="1" applyAlignment="1">
      <alignment horizontal="center" vertical="center" wrapText="1"/>
    </xf>
    <xf numFmtId="40" fontId="35" fillId="4" borderId="14" xfId="1" applyNumberFormat="1" applyFont="1" applyFill="1" applyBorder="1" applyAlignment="1">
      <alignment horizontal="center" vertical="center" wrapText="1"/>
    </xf>
    <xf numFmtId="40" fontId="35" fillId="4" borderId="15" xfId="1" applyNumberFormat="1" applyFont="1" applyFill="1" applyBorder="1" applyAlignment="1">
      <alignment horizontal="center" vertical="center" wrapText="1"/>
    </xf>
    <xf numFmtId="0" fontId="15" fillId="0" borderId="0" xfId="0" applyFont="1" applyAlignment="1">
      <alignment horizontal="left" vertical="top" wrapText="1"/>
    </xf>
    <xf numFmtId="40" fontId="17" fillId="0" borderId="16" xfId="0" applyNumberFormat="1" applyFont="1" applyBorder="1" applyAlignment="1">
      <alignment horizontal="center" vertical="center" wrapText="1"/>
    </xf>
    <xf numFmtId="14" fontId="17" fillId="0" borderId="7" xfId="0" applyNumberFormat="1" applyFont="1" applyBorder="1" applyAlignment="1">
      <alignment horizontal="center" vertical="top" wrapText="1"/>
    </xf>
    <xf numFmtId="14" fontId="17" fillId="0" borderId="16" xfId="0" applyNumberFormat="1" applyFont="1" applyBorder="1" applyAlignment="1">
      <alignment horizontal="center" vertical="top" wrapText="1"/>
    </xf>
    <xf numFmtId="14" fontId="17" fillId="0" borderId="11" xfId="0" applyNumberFormat="1" applyFont="1" applyBorder="1" applyAlignment="1">
      <alignment horizontal="center" vertical="top"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14" fontId="0" fillId="0" borderId="0" xfId="0" applyNumberFormat="1" applyAlignment="1">
      <alignment horizontal="left" vertical="center" wrapText="1"/>
    </xf>
  </cellXfs>
  <cellStyles count="4">
    <cellStyle name="Comma" xfId="3" builtinId="3"/>
    <cellStyle name="Currency" xfId="1" builtinId="4"/>
    <cellStyle name="Normal" xfId="0" builtinId="0"/>
    <cellStyle name="Normal_Notes" xfId="2"/>
  </cellStyles>
  <dxfs count="103">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35" formatCode="_(* #,##0.00_);_(* \(#,##0.00\);_(* &quot;-&quot;??_);_(@_)"/>
      <alignment horizontal="general" vertical="top" textRotation="0" wrapText="0" indent="0" justifyLastLine="0" shrinkToFit="0" readingOrder="0"/>
      <border diagonalUp="0" diagonalDown="0">
        <left style="thin">
          <color indexed="64"/>
        </left>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right style="thin">
          <color indexed="64"/>
        </right>
        <top style="thin">
          <color indexed="64"/>
        </top>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bottom style="thin">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color auto="1"/>
        <name val="Arial Unicode MS"/>
        <scheme val="none"/>
      </font>
      <numFmt numFmtId="35" formatCode="_(* #,##0.00_);_(* \(#,##0.00\);_(* &quot;-&quot;??_);_(@_)"/>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164"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DDD9C4"/>
        </patternFill>
      </fill>
    </dxf>
    <dxf>
      <font>
        <b/>
        <i val="0"/>
      </font>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2"/>
      <tableStyleElement type="firstRowStripe" dxfId="101"/>
    </tableStyle>
    <tableStyle name="Table Style 2" pivot="0" count="1">
      <tableStyleElement type="firstRowStripe" dxfId="100"/>
    </tableStyle>
    <tableStyle name="Table Style 3" pivot="0" count="1">
      <tableStyleElement type="firstRowStripe" dxfId="99"/>
    </tableStyle>
    <tableStyle name="Table Style 4" pivot="0" count="2">
      <tableStyleElement type="headerRow" dxfId="98"/>
      <tableStyleElement type="firstRowStripe" dxfId="97"/>
    </tableStyle>
  </tableStyles>
  <colors>
    <mruColors>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adjustColumnWidth="0" connectionId="1"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2.xml><?xml version="1.0" encoding="utf-8"?>
<queryTable xmlns="http://schemas.openxmlformats.org/spreadsheetml/2006/main" name="Query from MS Access Database_2" adjustColumnWidth="0" connectionId="4"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3.xml><?xml version="1.0" encoding="utf-8"?>
<queryTable xmlns="http://schemas.openxmlformats.org/spreadsheetml/2006/main" name="Query from MS Access Database"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23"/>
      <queryTableField id="24" name="TO" tableColumnId="24"/>
      <queryTableField id="25" name="PROJECT8" tableColumnId="25"/>
      <queryTableField id="26" name="NOTES" tableColumnId="2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R12" totalsRowShown="0" headerRowDxfId="96" dataDxfId="94" headerRowBorderDxfId="95" tableBorderDxfId="93" totalsRowBorderDxfId="92" headerRowCellStyle="Currency">
  <autoFilter ref="M3:R12"/>
  <tableColumns count="6">
    <tableColumn id="1" name="Description" dataDxfId="91"/>
    <tableColumn id="4" name="HSIP/3" dataDxfId="90"/>
    <tableColumn id="5" name="SPR /4" dataDxfId="89"/>
    <tableColumn id="6" name="STP other" dataDxfId="88"/>
    <tableColumn id="7" name="Total" dataDxfId="87"/>
    <tableColumn id="8" name="FFY OBLIGATION AUTHORITY /2" dataDxfId="86"/>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5:R46" tableType="queryTable" totalsRowShown="0" headerRowDxfId="85" dataDxfId="83" headerRowBorderDxfId="84" tableBorderDxfId="82" totalsRowBorderDxfId="81">
  <autoFilter ref="A15:R46"/>
  <tableColumns count="18">
    <tableColumn id="1" uniqueName="1" name="ADOT#" queryTableFieldId="1" dataDxfId="80"/>
    <tableColumn id="2" uniqueName="2" name="TIP#" queryTableFieldId="2" dataDxfId="79"/>
    <tableColumn id="3" uniqueName="3" name="Sponsor" queryTableFieldId="3" dataDxfId="78"/>
    <tableColumn id="4" uniqueName="4" name="Action/15" queryTableFieldId="4" dataDxfId="77"/>
    <tableColumn id="5" uniqueName="5" name="Location" queryTableFieldId="5" dataDxfId="76"/>
    <tableColumn id="6" uniqueName="6" name="RTE" queryTableFieldId="6" dataDxfId="75"/>
    <tableColumn id="7" uniqueName="7" name="SEC" queryTableFieldId="7" dataDxfId="74"/>
    <tableColumn id="8" uniqueName="8" name="SEQ" queryTableFieldId="8" dataDxfId="73"/>
    <tableColumn id="16" uniqueName="16" name="FED #" queryTableFieldId="16" dataDxfId="72">
      <calculatedColumnFormula>CONCATENATE(Table_Query_from_MS_Access_Database_1[[#This Row],[RTE]],Table_Query_from_MS_Access_Database_1[[#This Row],[SEC]],Table_Query_from_MS_Access_Database_1[[#This Row],[SEQ]])</calculatedColumnFormula>
    </tableColumn>
    <tableColumn id="9" uniqueName="9" name="PB Expected" queryTableFieldId="9" dataDxfId="71"/>
    <tableColumn id="10" uniqueName="10" name="PB Received" queryTableFieldId="10" dataDxfId="70"/>
    <tableColumn id="11" uniqueName="11" name="PF Transmitted" queryTableFieldId="11" dataDxfId="69"/>
    <tableColumn id="12" uniqueName="12" name="Finance Authorization" queryTableFieldId="12" dataDxfId="68"/>
    <tableColumn id="13" uniqueName="13" name="HSIP" queryTableFieldId="13" dataDxfId="67" dataCellStyle="Comma"/>
    <tableColumn id="14" uniqueName="14" name="SPR" queryTableFieldId="14" dataDxfId="66" dataCellStyle="Comma"/>
    <tableColumn id="15" uniqueName="15" name="STP OTHER" queryTableFieldId="15" dataDxfId="65" dataCellStyle="Comma"/>
    <tableColumn id="17" uniqueName="17" name="TOTAL OF  AMOUNT" queryTableFieldId="17" dataDxfId="64" dataCellStyle="Comma">
      <calculatedColumnFormula>+SUM(Table_Query_from_MS_Access_Database_1[[#This Row],[HSIP]:[STP OTHER]])</calculatedColumnFormula>
    </tableColumn>
    <tableColumn id="18" uniqueName="18" name="DECLINING BALANCE OA" queryTableFieldId="18" dataDxfId="63" dataCellStyle="Comma">
      <calculatedColumnFormula>+R12-Table_Query_from_MS_Access_Database_1[TOTAL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6" name="Table_Query_from_MS_Access_Database_2" displayName="Table_Query_from_MS_Access_Database_2" ref="A51:R52" tableType="queryTable" totalsRowShown="0" headerRowDxfId="62" dataDxfId="60" headerRowBorderDxfId="61" tableBorderDxfId="59" totalsRowBorderDxfId="58">
  <autoFilter ref="A51:R52"/>
  <tableColumns count="18">
    <tableColumn id="1" uniqueName="1" name="ADOT#" queryTableFieldId="1" dataDxfId="57"/>
    <tableColumn id="2" uniqueName="2" name="TIP#" queryTableFieldId="2" dataDxfId="56"/>
    <tableColumn id="3" uniqueName="3" name="Sponsor" queryTableFieldId="3" dataDxfId="55"/>
    <tableColumn id="4" uniqueName="4" name="Action/15" queryTableFieldId="4" dataDxfId="54"/>
    <tableColumn id="5" uniqueName="5" name="Location" queryTableFieldId="5" dataDxfId="53"/>
    <tableColumn id="6" uniqueName="6" name="RTE" queryTableFieldId="6" dataDxfId="52"/>
    <tableColumn id="7" uniqueName="7" name="SEC" queryTableFieldId="7" dataDxfId="51"/>
    <tableColumn id="8" uniqueName="8" name="SEQ" queryTableFieldId="8" dataDxfId="50"/>
    <tableColumn id="16" uniqueName="16" name="FED #" queryTableFieldId="16" dataDxfId="49">
      <calculatedColumnFormula>CONCATENATE(Table_Query_from_MS_Access_Database_2[RTE],Table_Query_from_MS_Access_Database_2[SEC],Table_Query_from_MS_Access_Database_2[SEQ])</calculatedColumnFormula>
    </tableColumn>
    <tableColumn id="9" uniqueName="9" name="PB Expected" queryTableFieldId="9" dataDxfId="48"/>
    <tableColumn id="10" uniqueName="10" name="PB Received" queryTableFieldId="10" dataDxfId="47"/>
    <tableColumn id="11" uniqueName="11" name="PF Transmitted" queryTableFieldId="11" dataDxfId="46"/>
    <tableColumn id="12" uniqueName="12" name="Finance Authorization" queryTableFieldId="12" dataDxfId="45"/>
    <tableColumn id="13" uniqueName="13" name="HSIP" queryTableFieldId="13" dataDxfId="44"/>
    <tableColumn id="14" uniqueName="14" name="SPR" queryTableFieldId="14" dataDxfId="43"/>
    <tableColumn id="15" uniqueName="15" name="STP OTHER" queryTableFieldId="15" dataDxfId="42"/>
    <tableColumn id="17" uniqueName="17" name="TOTAL OF AMOUNT" queryTableFieldId="17" dataDxfId="41" dataCellStyle="Comma">
      <calculatedColumnFormula>+SUM(Table_Query_from_MS_Access_Database_2[[#This Row],[HSIP]:[STP OTHER]])</calculatedColumnFormula>
    </tableColumn>
    <tableColumn id="18" uniqueName="18" name="EXPECTED DECLINING BALANCE OA" queryTableFieldId="18" dataDxfId="40">
      <calculatedColumnFormula>R46-Table_Query_from_MS_Access_Database_2[TOTAL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16" tableType="queryTable" totalsRowShown="0" tableBorderDxfId="39" headerRowCellStyle="Comma" dataCellStyle="Comma">
  <autoFilter ref="A11:R16"/>
  <tableColumns count="18">
    <tableColumn id="1" uniqueName="1" name="Transaction Year" queryTableFieldId="1" dataDxfId="38" dataCellStyle="Comma"/>
    <tableColumn id="2" uniqueName="2" name="Transaction Type" queryTableFieldId="2" dataDxfId="37" dataCellStyle="Comma"/>
    <tableColumn id="3" uniqueName="3" name="Number" queryTableFieldId="3" dataDxfId="36" dataCellStyle="Comma"/>
    <tableColumn id="6" uniqueName="6" name="Repayment Year" queryTableFieldId="6" dataDxfId="35" dataCellStyle="Comma"/>
    <tableColumn id="9" uniqueName="9" name="Total" queryTableFieldId="9" dataDxfId="34" dataCellStyle="Comma"/>
    <tableColumn id="10" uniqueName="10" name="CMAQ" queryTableFieldId="10" dataDxfId="33" dataCellStyle="Comma"/>
    <tableColumn id="11" uniqueName="11" name="CMAQ 2_5" queryTableFieldId="11" dataDxfId="32" dataCellStyle="Comma"/>
    <tableColumn id="12" uniqueName="12" name="HSIP" queryTableFieldId="12" dataDxfId="31" dataCellStyle="Comma"/>
    <tableColumn id="13" uniqueName="13" name="PL" queryTableFieldId="13" dataDxfId="30" dataCellStyle="Comma"/>
    <tableColumn id="14" uniqueName="14" name="SPR" queryTableFieldId="14" dataDxfId="29" dataCellStyle="Comma"/>
    <tableColumn id="15" uniqueName="15" name="STP other" queryTableFieldId="15" dataDxfId="28" dataCellStyle="Comma"/>
    <tableColumn id="16" uniqueName="16" name="STP over 200K" queryTableFieldId="16" dataDxfId="27" dataCellStyle="Comma"/>
    <tableColumn id="17" uniqueName="17" name="TA other" queryTableFieldId="17" dataDxfId="26" dataCellStyle="Comma"/>
    <tableColumn id="18" uniqueName="18" name="TA over 200K" queryTableFieldId="18" dataDxfId="25" dataCellStyle="Comma"/>
    <tableColumn id="4" uniqueName="4" name="From" queryTableFieldId="19" dataDxfId="24" dataCellStyle="Comma"/>
    <tableColumn id="5" uniqueName="5" name="To" queryTableFieldId="20" dataDxfId="23" dataCellStyle="Comma"/>
    <tableColumn id="7" uniqueName="7" name="Project8" queryTableFieldId="21" dataDxfId="22" dataCellStyle="Comma"/>
    <tableColumn id="8" uniqueName="8" name="Notes" queryTableFieldId="22" dataDxfId="2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23:R28" tableType="queryTable" totalsRowShown="0" headerRowDxfId="20" dataDxfId="19" tableBorderDxfId="18" headerRowCellStyle="Comma" dataCellStyle="Comma">
  <autoFilter ref="A23:R28"/>
  <tableColumns count="18">
    <tableColumn id="1" uniqueName="1" name="Transaction Year" queryTableFieldId="1" dataDxfId="17" dataCellStyle="Comma"/>
    <tableColumn id="2" uniqueName="2" name="Transaction Type" queryTableFieldId="2" dataDxfId="16" dataCellStyle="Comma"/>
    <tableColumn id="3" uniqueName="3" name="Number" queryTableFieldId="3" dataDxfId="15" dataCellStyle="Comma"/>
    <tableColumn id="6" uniqueName="6" name="Repayment Year" queryTableFieldId="6" dataDxfId="14" dataCellStyle="Comma"/>
    <tableColumn id="9" uniqueName="9" name="Total" queryTableFieldId="9" dataDxfId="13" dataCellStyle="Comma"/>
    <tableColumn id="10" uniqueName="10" name="CMAQ" queryTableFieldId="10" dataDxfId="12" dataCellStyle="Comma"/>
    <tableColumn id="11" uniqueName="11" name="CMAQ 2_5" queryTableFieldId="11" dataDxfId="11" dataCellStyle="Comma"/>
    <tableColumn id="12" uniqueName="12" name="HSIP" queryTableFieldId="12" dataDxfId="10" dataCellStyle="Comma"/>
    <tableColumn id="13" uniqueName="13" name="PL" queryTableFieldId="13" dataDxfId="9" dataCellStyle="Comma"/>
    <tableColumn id="14" uniqueName="14" name="SPR" queryTableFieldId="14" dataDxfId="8" dataCellStyle="Comma"/>
    <tableColumn id="15" uniqueName="15" name="STP other" queryTableFieldId="15" dataDxfId="7" dataCellStyle="Comma"/>
    <tableColumn id="16" uniqueName="16" name="STP over 200K" queryTableFieldId="16" dataDxfId="6" dataCellStyle="Comma"/>
    <tableColumn id="17" uniqueName="17" name="TA other" queryTableFieldId="17" dataDxfId="5" dataCellStyle="Comma"/>
    <tableColumn id="18" uniqueName="18" name="TA over 200K" queryTableFieldId="18" dataDxfId="4" dataCellStyle="Comma"/>
    <tableColumn id="23" uniqueName="23" name="From" queryTableFieldId="23" dataDxfId="3" dataCellStyle="Comma"/>
    <tableColumn id="24" uniqueName="24" name="TO" queryTableFieldId="24" dataDxfId="2" dataCellStyle="Comma"/>
    <tableColumn id="25" uniqueName="25" name="PROJECT8" queryTableFieldId="25" dataDxfId="1" dataCellStyle="Comma"/>
    <tableColumn id="26" uniqueName="26" name="NOTES" queryTableFieldId="26"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63"/>
  <sheetViews>
    <sheetView tabSelected="1" zoomScale="90" zoomScaleNormal="90" zoomScaleSheetLayoutView="55" workbookViewId="0">
      <selection sqref="A1:F1"/>
    </sheetView>
  </sheetViews>
  <sheetFormatPr defaultColWidth="32" defaultRowHeight="15.6" x14ac:dyDescent="0.3"/>
  <cols>
    <col min="1" max="1" width="12.77734375" style="33" customWidth="1"/>
    <col min="2" max="4" width="15.77734375" style="33" customWidth="1"/>
    <col min="5" max="5" width="40.77734375" style="33" customWidth="1"/>
    <col min="6" max="7" width="9.88671875" style="33" hidden="1" customWidth="1"/>
    <col min="8" max="8" width="10" style="33" hidden="1" customWidth="1"/>
    <col min="9" max="9" width="11.5546875" style="33" bestFit="1" customWidth="1"/>
    <col min="10" max="12" width="15.77734375" style="34" customWidth="1"/>
    <col min="13" max="13" width="23.77734375" style="34" customWidth="1"/>
    <col min="14" max="17" width="14.77734375" style="36" customWidth="1"/>
    <col min="18" max="18" width="18.77734375" style="33" customWidth="1"/>
    <col min="19" max="19" width="4.33203125" style="33" bestFit="1" customWidth="1"/>
    <col min="20" max="16384" width="32" style="33"/>
  </cols>
  <sheetData>
    <row r="1" spans="1:19" ht="24" thickBot="1" x14ac:dyDescent="0.35">
      <c r="A1" s="187" t="s">
        <v>223</v>
      </c>
      <c r="B1" s="187"/>
      <c r="C1" s="187"/>
      <c r="D1" s="187"/>
      <c r="E1" s="187"/>
      <c r="F1" s="187"/>
      <c r="K1" s="35"/>
      <c r="M1" s="61"/>
      <c r="N1" s="193" t="s">
        <v>106</v>
      </c>
      <c r="O1" s="193"/>
      <c r="P1" s="193"/>
      <c r="Q1" s="193"/>
      <c r="R1" s="193"/>
      <c r="S1" s="193"/>
    </row>
    <row r="2" spans="1:19" ht="16.2" thickBot="1" x14ac:dyDescent="0.35">
      <c r="M2" s="61"/>
      <c r="N2" s="106"/>
      <c r="O2" s="189" t="s">
        <v>12</v>
      </c>
      <c r="P2" s="190"/>
      <c r="Q2" s="190"/>
      <c r="R2" s="191"/>
      <c r="S2" s="62"/>
    </row>
    <row r="3" spans="1:19" ht="26.4" customHeight="1" x14ac:dyDescent="0.3">
      <c r="A3" s="206" t="s">
        <v>254</v>
      </c>
      <c r="B3" s="206"/>
      <c r="C3" s="206"/>
      <c r="D3" s="38"/>
      <c r="E3" s="38"/>
      <c r="F3" s="38"/>
      <c r="G3" s="38"/>
      <c r="M3" s="108" t="s">
        <v>11</v>
      </c>
      <c r="N3" s="109" t="s">
        <v>88</v>
      </c>
      <c r="O3" s="110" t="s">
        <v>78</v>
      </c>
      <c r="P3" s="110" t="s">
        <v>6</v>
      </c>
      <c r="Q3" s="111" t="s">
        <v>10</v>
      </c>
      <c r="R3" s="39" t="s">
        <v>15</v>
      </c>
      <c r="S3" s="37"/>
    </row>
    <row r="4" spans="1:19" ht="26.4" customHeight="1" x14ac:dyDescent="0.3">
      <c r="A4" s="206"/>
      <c r="B4" s="206"/>
      <c r="C4" s="206"/>
      <c r="E4" s="40"/>
      <c r="F4" s="40"/>
      <c r="G4" s="40"/>
      <c r="M4" s="116" t="s">
        <v>222</v>
      </c>
      <c r="N4" s="112">
        <v>0</v>
      </c>
      <c r="O4" s="113">
        <v>0</v>
      </c>
      <c r="P4" s="42">
        <v>2113147.12</v>
      </c>
      <c r="Q4" s="114">
        <f t="shared" ref="Q4:Q11" si="0">SUM(N4:P4)</f>
        <v>2113147.12</v>
      </c>
      <c r="R4" s="112">
        <v>1990758.93</v>
      </c>
      <c r="S4" s="37"/>
    </row>
    <row r="5" spans="1:19" ht="26.4" x14ac:dyDescent="0.3">
      <c r="A5" s="212" t="s">
        <v>255</v>
      </c>
      <c r="B5" s="212"/>
      <c r="C5" s="212"/>
      <c r="M5" s="117" t="s">
        <v>221</v>
      </c>
      <c r="N5" s="41">
        <v>519767</v>
      </c>
      <c r="O5" s="42">
        <f>Notes!D13</f>
        <v>156250</v>
      </c>
      <c r="P5" s="42">
        <f>150258.5+357034.5</f>
        <v>507293</v>
      </c>
      <c r="Q5" s="43">
        <f t="shared" si="0"/>
        <v>1183310</v>
      </c>
      <c r="R5" s="41">
        <f>Q5*0.94875273887</f>
        <v>1122668.6034322598</v>
      </c>
      <c r="S5" s="44" t="s">
        <v>89</v>
      </c>
    </row>
    <row r="6" spans="1:19" x14ac:dyDescent="0.3">
      <c r="M6" s="117" t="s">
        <v>96</v>
      </c>
      <c r="N6" s="136">
        <f>SUMIFS(Table_Query_from_MS_Access_Database[[#All],[HSIP]],Table_Query_from_MS_Access_Database[[#All],[Transaction Year]],"2014",Table_Query_from_MS_Access_Database[[#All],[Transaction Type]],"loan in")</f>
        <v>0</v>
      </c>
      <c r="O6" s="137">
        <f>SUMIFS(Table_Query_from_MS_Access_Database[[#All],[SPR]],Table_Query_from_MS_Access_Database[[#All],[Transaction Year]],"2014",Table_Query_from_MS_Access_Database[[#All],[Transaction Type]],"loan in")</f>
        <v>0</v>
      </c>
      <c r="P6" s="137">
        <f>SUMIFS(Table_Query_from_MS_Access_Database[[#All],[STP other]],Table_Query_from_MS_Access_Database[[#All],[Transaction Year]],"2014",Table_Query_from_MS_Access_Database[[#All],[Transaction Type]],"loan in")</f>
        <v>0</v>
      </c>
      <c r="Q6" s="43">
        <f t="shared" si="0"/>
        <v>0</v>
      </c>
      <c r="R6" s="45">
        <f>SUMIFS(Table_Query_from_MS_Access_Database_16[[#All],[Total]],Table_Query_from_MS_Access_Database_16[[#All],[Transaction Year]],"2014",Table_Query_from_MS_Access_Database_16[[#All],[Transaction Type]],"Loan In")</f>
        <v>0</v>
      </c>
      <c r="S6" s="37"/>
    </row>
    <row r="7" spans="1:19" x14ac:dyDescent="0.3">
      <c r="A7" s="47"/>
      <c r="M7" s="117" t="s">
        <v>97</v>
      </c>
      <c r="N7" s="136">
        <f>SUMIFS(Table_Query_from_MS_Access_Database[[#All],[HSIP]],Table_Query_from_MS_Access_Database[[#All],[Transaction Year]],"2014",Table_Query_from_MS_Access_Database[[#All],[Transaction Type]],"loan Out")</f>
        <v>0</v>
      </c>
      <c r="O7" s="137">
        <f>SUMIFS(Table_Query_from_MS_Access_Database[[#All],[SPR]],Table_Query_from_MS_Access_Database[[#All],[Transaction Year]],"2014",Table_Query_from_MS_Access_Database[[#All],[Transaction Type]],"loan Out")</f>
        <v>0</v>
      </c>
      <c r="P7" s="137">
        <f>SUMIFS(Table_Query_from_MS_Access_Database[[#All],[STP other]],Table_Query_from_MS_Access_Database[[#All],[Transaction Year]],"2014",Table_Query_from_MS_Access_Database[[#All],[Transaction Type]],"loan Out")</f>
        <v>-75440</v>
      </c>
      <c r="Q7" s="43">
        <f t="shared" si="0"/>
        <v>-75440</v>
      </c>
      <c r="R7" s="45">
        <f>SUMIFS(Table_Query_from_MS_Access_Database_16[[#All],[Total]],Table_Query_from_MS_Access_Database_16[[#All],[Transaction Year]],"2014",Table_Query_from_MS_Access_Database_16[[#All],[Transaction Type]],"Loan Out")</f>
        <v>-75440</v>
      </c>
      <c r="S7" s="37"/>
    </row>
    <row r="8" spans="1:19" x14ac:dyDescent="0.3">
      <c r="M8" s="116" t="s">
        <v>98</v>
      </c>
      <c r="N8" s="136">
        <f>SUMIFS(Table_Query_from_MS_Access_Database[[#All],[HSIP]],Table_Query_from_MS_Access_Database[[#All],[Transaction Year]],"2014",Table_Query_from_MS_Access_Database[[#All],[Transaction Type]],"repayment in")</f>
        <v>0</v>
      </c>
      <c r="O8" s="137">
        <f>SUMIFS(Table_Query_from_MS_Access_Database[[#All],[SPR]],Table_Query_from_MS_Access_Database[[#All],[Transaction Year]],"2014",Table_Query_from_MS_Access_Database[[#All],[Transaction Type]],"repayment in")</f>
        <v>0</v>
      </c>
      <c r="P8" s="137">
        <f>SUMIFS(Table_Query_from_MS_Access_Database[[#All],[STP other]],Table_Query_from_MS_Access_Database[[#All],[Transaction Year]],"2014",Table_Query_from_MS_Access_Database[[#All],[Transaction Type]],"repayment in")</f>
        <v>0</v>
      </c>
      <c r="Q8" s="43">
        <f t="shared" si="0"/>
        <v>0</v>
      </c>
      <c r="R8" s="45">
        <f>SUMIFS(Table_Query_from_MS_Access_Database_16[[#All],[Total]],Table_Query_from_MS_Access_Database_16[[#All],[Transaction Year]],"2014",Table_Query_from_MS_Access_Database_16[[#All],[Transaction Type]],"repayment In")</f>
        <v>0</v>
      </c>
      <c r="S8" s="37"/>
    </row>
    <row r="9" spans="1:19" x14ac:dyDescent="0.3">
      <c r="A9" s="192" t="s">
        <v>119</v>
      </c>
      <c r="B9" s="192"/>
      <c r="C9" s="192"/>
      <c r="D9" s="192"/>
      <c r="E9" s="192"/>
      <c r="F9" s="192"/>
      <c r="G9" s="192"/>
      <c r="H9" s="192"/>
      <c r="I9" s="192"/>
      <c r="J9" s="192"/>
      <c r="K9" s="192"/>
      <c r="L9" s="192"/>
      <c r="M9" s="117" t="s">
        <v>99</v>
      </c>
      <c r="N9" s="136">
        <f>SUMIFS(Table_Query_from_MS_Access_Database[[#All],[HSIP]],Table_Query_from_MS_Access_Database[[#All],[Transaction Year]],"2014",Table_Query_from_MS_Access_Database[[#All],[Transaction Type]],"repayment Out")</f>
        <v>0</v>
      </c>
      <c r="O9" s="137">
        <f>SUMIFS(Table_Query_from_MS_Access_Database[[#All],[SPR]],Table_Query_from_MS_Access_Database[[#All],[Transaction Year]],"2014",Table_Query_from_MS_Access_Database[[#All],[Transaction Type]],"repayment Out")</f>
        <v>0</v>
      </c>
      <c r="P9" s="137">
        <f>SUMIFS(Table_Query_from_MS_Access_Database[[#All],[STP other]],Table_Query_from_MS_Access_Database[[#All],[Transaction Year]],"2014",Table_Query_from_MS_Access_Database[[#All],[Transaction Type]],"repayment Out")</f>
        <v>0</v>
      </c>
      <c r="Q9" s="43">
        <f t="shared" si="0"/>
        <v>0</v>
      </c>
      <c r="R9" s="45">
        <f>SUMIFS(Table_Query_from_MS_Access_Database_16[[#All],[Total]],Table_Query_from_MS_Access_Database_16[[#All],[Transaction Year]],"2014",Table_Query_from_MS_Access_Database_16[[#All],[Transaction Type]],"Repayment Out")</f>
        <v>0</v>
      </c>
      <c r="S9" s="37"/>
    </row>
    <row r="10" spans="1:19" x14ac:dyDescent="0.3">
      <c r="M10" s="117" t="s">
        <v>100</v>
      </c>
      <c r="N10" s="136">
        <f>SUMIFS(Table_Query_from_MS_Access_Database[[#All],[HSIP]],Table_Query_from_MS_Access_Database[[#All],[Transaction Year]],"2014",Table_Query_from_MS_Access_Database[[#All],[Transaction Type]],"Transfer in")</f>
        <v>0</v>
      </c>
      <c r="O10" s="137">
        <f>SUMIFS(Table_Query_from_MS_Access_Database[[#All],[SPR]],Table_Query_from_MS_Access_Database[[#All],[Transaction Year]],"2014",Table_Query_from_MS_Access_Database[[#All],[Transaction Type]],"Transfer in")</f>
        <v>0</v>
      </c>
      <c r="P10" s="137">
        <f>SUMIFS(Table_Query_from_MS_Access_Database[[#All],[STP other]],Table_Query_from_MS_Access_Database[[#All],[Transaction Year]],"2014",Table_Query_from_MS_Access_Database[[#All],[Transaction Type]],"Transfer in")</f>
        <v>0</v>
      </c>
      <c r="Q10" s="43">
        <f t="shared" si="0"/>
        <v>0</v>
      </c>
      <c r="R10" s="45">
        <f>SUMIFS(Table_Query_from_MS_Access_Database_16[[#All],[Total]],Table_Query_from_MS_Access_Database_16[[#All],[Transaction Year]],"2014",Table_Query_from_MS_Access_Database_16[[#All],[Transaction Type]],"Transfer In")</f>
        <v>0</v>
      </c>
    </row>
    <row r="11" spans="1:19" x14ac:dyDescent="0.3">
      <c r="F11" s="48"/>
      <c r="G11" s="48"/>
      <c r="M11" s="117" t="s">
        <v>101</v>
      </c>
      <c r="N11" s="136">
        <f>SUMIFS(Table_Query_from_MS_Access_Database[[#All],[HSIP]],Table_Query_from_MS_Access_Database[[#All],[Transaction Year]],"2014",Table_Query_from_MS_Access_Database[[#All],[Transaction Type]],"Transfer Out")</f>
        <v>0</v>
      </c>
      <c r="O11" s="137">
        <f>SUMIFS(Table_Query_from_MS_Access_Database[[#All],[SPR]],Table_Query_from_MS_Access_Database[[#All],[Transaction Year]],"2014",Table_Query_from_MS_Access_Database[[#All],[Transaction Type]],"Transfer Out")</f>
        <v>0</v>
      </c>
      <c r="P11" s="137">
        <f>SUMIFS(Table_Query_from_MS_Access_Database[[#All],[STP other]],Table_Query_from_MS_Access_Database[[#All],[Transaction Year]],"2014",Table_Query_from_MS_Access_Database[[#All],[Transaction Type]],"Transfer Out")</f>
        <v>-158061</v>
      </c>
      <c r="Q11" s="43">
        <f t="shared" si="0"/>
        <v>-158061</v>
      </c>
      <c r="R11" s="45">
        <f>SUMIFS(Table_Query_from_MS_Access_Database_16[[#All],[Total]],Table_Query_from_MS_Access_Database_16[[#All],[Transaction Year]],"2014",Table_Query_from_MS_Access_Database_16[[#All],[Transaction Type]],"Transfer Out")</f>
        <v>-150000</v>
      </c>
      <c r="S11" s="46"/>
    </row>
    <row r="12" spans="1:19" ht="26.4" x14ac:dyDescent="0.3">
      <c r="M12" s="118" t="s">
        <v>238</v>
      </c>
      <c r="N12" s="49">
        <f>SUM(N4:N11)</f>
        <v>519767</v>
      </c>
      <c r="O12" s="50">
        <f>SUM(O4:O11)</f>
        <v>156250</v>
      </c>
      <c r="P12" s="50">
        <f>SUM(P4:P11)</f>
        <v>2386939.12</v>
      </c>
      <c r="Q12" s="50">
        <f>SUM(Q4:Q11)</f>
        <v>3062956.12</v>
      </c>
      <c r="R12" s="49">
        <f>SUM(R4:R11)</f>
        <v>2887987.5334322597</v>
      </c>
      <c r="S12" s="46"/>
    </row>
    <row r="13" spans="1:19" x14ac:dyDescent="0.3">
      <c r="N13" s="51"/>
      <c r="O13" s="52"/>
      <c r="P13" s="52"/>
      <c r="Q13" s="52"/>
      <c r="R13" s="52"/>
      <c r="S13" s="52"/>
    </row>
    <row r="14" spans="1:19" ht="16.8" x14ac:dyDescent="0.3">
      <c r="A14" s="188" t="s">
        <v>239</v>
      </c>
      <c r="B14" s="188"/>
      <c r="C14" s="188"/>
      <c r="D14" s="188"/>
      <c r="J14" s="194" t="s">
        <v>240</v>
      </c>
      <c r="K14" s="195"/>
      <c r="L14" s="195"/>
      <c r="M14" s="196"/>
      <c r="N14" s="53"/>
      <c r="R14" s="54"/>
      <c r="S14" s="54"/>
    </row>
    <row r="15" spans="1:19" s="92" customFormat="1" ht="26.4" x14ac:dyDescent="0.3">
      <c r="A15" s="89" t="s">
        <v>1</v>
      </c>
      <c r="B15" s="90" t="s">
        <v>0</v>
      </c>
      <c r="C15" s="90" t="s">
        <v>3</v>
      </c>
      <c r="D15" s="90" t="s">
        <v>109</v>
      </c>
      <c r="E15" s="90" t="s">
        <v>2</v>
      </c>
      <c r="F15" s="90" t="s">
        <v>60</v>
      </c>
      <c r="G15" s="90" t="s">
        <v>61</v>
      </c>
      <c r="H15" s="90" t="s">
        <v>62</v>
      </c>
      <c r="I15" s="90" t="s">
        <v>73</v>
      </c>
      <c r="J15" s="91" t="s">
        <v>63</v>
      </c>
      <c r="K15" s="91" t="s">
        <v>64</v>
      </c>
      <c r="L15" s="91" t="s">
        <v>65</v>
      </c>
      <c r="M15" s="91" t="s">
        <v>66</v>
      </c>
      <c r="N15" s="90" t="s">
        <v>4</v>
      </c>
      <c r="O15" s="90" t="s">
        <v>5</v>
      </c>
      <c r="P15" s="90" t="s">
        <v>72</v>
      </c>
      <c r="Q15" s="90" t="s">
        <v>116</v>
      </c>
      <c r="R15" s="88" t="s">
        <v>159</v>
      </c>
      <c r="S15" s="57"/>
    </row>
    <row r="16" spans="1:19" s="125" customFormat="1" ht="13.2" x14ac:dyDescent="0.3">
      <c r="A16" s="58" t="s">
        <v>67</v>
      </c>
      <c r="B16" s="58" t="s">
        <v>68</v>
      </c>
      <c r="C16" s="58" t="s">
        <v>69</v>
      </c>
      <c r="D16" s="58" t="s">
        <v>21</v>
      </c>
      <c r="E16" s="58" t="s">
        <v>110</v>
      </c>
      <c r="F16" s="58" t="s">
        <v>56</v>
      </c>
      <c r="G16" s="59" t="s">
        <v>70</v>
      </c>
      <c r="H16" s="59" t="s">
        <v>71</v>
      </c>
      <c r="I16" s="59" t="str">
        <f>CONCATENATE(Table_Query_from_MS_Access_Database_1[[#This Row],[RTE]],Table_Query_from_MS_Access_Database_1[[#This Row],[SEC]],Table_Query_from_MS_Access_Database_1[[#This Row],[SEQ]])</f>
        <v>PAY0204</v>
      </c>
      <c r="J16" s="120"/>
      <c r="K16" s="120"/>
      <c r="L16" s="120">
        <v>41569</v>
      </c>
      <c r="M16" s="120">
        <v>41575</v>
      </c>
      <c r="N16" s="166">
        <v>-27085</v>
      </c>
      <c r="O16" s="166"/>
      <c r="P16" s="166"/>
      <c r="Q16" s="166">
        <f>+SUM(Table_Query_from_MS_Access_Database_1[[#This Row],[HSIP]:[STP OTHER]])</f>
        <v>-27085</v>
      </c>
      <c r="R16" s="172">
        <f>+R12-Table_Query_from_MS_Access_Database_1[TOTAL OF  AMOUNT]</f>
        <v>2915072.5334322597</v>
      </c>
      <c r="S16" s="124"/>
    </row>
    <row r="17" spans="1:19" s="63" customFormat="1" ht="26.4" x14ac:dyDescent="0.3">
      <c r="A17" s="58" t="s">
        <v>77</v>
      </c>
      <c r="B17" s="58" t="s">
        <v>195</v>
      </c>
      <c r="C17" s="58" t="s">
        <v>76</v>
      </c>
      <c r="D17" s="58" t="s">
        <v>21</v>
      </c>
      <c r="E17" s="58" t="s">
        <v>111</v>
      </c>
      <c r="F17" s="58" t="s">
        <v>112</v>
      </c>
      <c r="G17" s="59" t="s">
        <v>70</v>
      </c>
      <c r="H17" s="59" t="s">
        <v>113</v>
      </c>
      <c r="I17" s="59" t="str">
        <f>CONCATENATE(Table_Query_from_MS_Access_Database_1[[#This Row],[RTE]],Table_Query_from_MS_Access_Database_1[[#This Row],[SEC]],Table_Query_from_MS_Access_Database_1[[#This Row],[SEQ]])</f>
        <v>GLB0203</v>
      </c>
      <c r="J17" s="120"/>
      <c r="K17" s="120"/>
      <c r="L17" s="120">
        <v>41569</v>
      </c>
      <c r="M17" s="120">
        <v>41575</v>
      </c>
      <c r="N17" s="166">
        <v>-4515</v>
      </c>
      <c r="O17" s="166"/>
      <c r="P17" s="166"/>
      <c r="Q17" s="166">
        <f>+SUM(Table_Query_from_MS_Access_Database_1[[#This Row],[HSIP]:[STP OTHER]])</f>
        <v>-4515</v>
      </c>
      <c r="R17" s="172">
        <f>+R16-Table_Query_from_MS_Access_Database_1[TOTAL OF  AMOUNT]</f>
        <v>2919587.5334322597</v>
      </c>
      <c r="S17" s="126"/>
    </row>
    <row r="18" spans="1:19" s="63" customFormat="1" ht="13.2" x14ac:dyDescent="0.3">
      <c r="A18" s="58" t="s">
        <v>175</v>
      </c>
      <c r="B18" s="58" t="s">
        <v>176</v>
      </c>
      <c r="C18" s="58" t="s">
        <v>55</v>
      </c>
      <c r="D18" s="58" t="s">
        <v>9</v>
      </c>
      <c r="E18" s="58" t="s">
        <v>163</v>
      </c>
      <c r="F18" s="58" t="s">
        <v>145</v>
      </c>
      <c r="G18" s="59" t="s">
        <v>164</v>
      </c>
      <c r="H18" s="59" t="s">
        <v>177</v>
      </c>
      <c r="I18" s="59" t="str">
        <f>CONCATENATE(Table_Query_from_MS_Access_Database_1[[#This Row],[RTE]],Table_Query_from_MS_Access_Database_1[[#This Row],[SEC]],Table_Query_from_MS_Access_Database_1[[#This Row],[SEQ]])</f>
        <v>000I182</v>
      </c>
      <c r="J18" s="120"/>
      <c r="K18" s="120">
        <v>41597</v>
      </c>
      <c r="L18" s="120">
        <v>41597</v>
      </c>
      <c r="M18" s="120">
        <v>41597</v>
      </c>
      <c r="N18" s="166"/>
      <c r="O18" s="166">
        <v>0</v>
      </c>
      <c r="P18" s="166"/>
      <c r="Q18" s="166">
        <f>+SUM(Table_Query_from_MS_Access_Database_1[[#This Row],[HSIP]:[STP OTHER]])</f>
        <v>0</v>
      </c>
      <c r="R18" s="172">
        <f>+R17-Table_Query_from_MS_Access_Database_1[TOTAL OF  AMOUNT]</f>
        <v>2919587.5334322597</v>
      </c>
      <c r="S18" s="126"/>
    </row>
    <row r="19" spans="1:19" s="63" customFormat="1" ht="26.4" x14ac:dyDescent="0.3">
      <c r="A19" s="58" t="s">
        <v>171</v>
      </c>
      <c r="B19" s="58" t="s">
        <v>172</v>
      </c>
      <c r="C19" s="58" t="s">
        <v>55</v>
      </c>
      <c r="D19" s="58" t="s">
        <v>9</v>
      </c>
      <c r="E19" s="58" t="s">
        <v>173</v>
      </c>
      <c r="F19" s="58" t="s">
        <v>114</v>
      </c>
      <c r="G19" s="59" t="s">
        <v>115</v>
      </c>
      <c r="H19" s="59" t="s">
        <v>174</v>
      </c>
      <c r="I19" s="59" t="str">
        <f>CONCATENATE(Table_Query_from_MS_Access_Database_1[[#This Row],[RTE]],Table_Query_from_MS_Access_Database_1[[#This Row],[SEC]],Table_Query_from_MS_Access_Database_1[[#This Row],[SEQ]])</f>
        <v>999A288</v>
      </c>
      <c r="J19" s="120"/>
      <c r="K19" s="120">
        <v>41597</v>
      </c>
      <c r="L19" s="120">
        <v>41597</v>
      </c>
      <c r="M19" s="120">
        <v>41597</v>
      </c>
      <c r="N19" s="166"/>
      <c r="O19" s="166"/>
      <c r="P19" s="166">
        <v>0</v>
      </c>
      <c r="Q19" s="166">
        <f>+SUM(Table_Query_from_MS_Access_Database_1[[#This Row],[HSIP]:[STP OTHER]])</f>
        <v>0</v>
      </c>
      <c r="R19" s="172">
        <f>+R18-Table_Query_from_MS_Access_Database_1[TOTAL OF  AMOUNT]</f>
        <v>2919587.5334322597</v>
      </c>
      <c r="S19" s="84"/>
    </row>
    <row r="20" spans="1:19" s="63" customFormat="1" ht="26.4" x14ac:dyDescent="0.3">
      <c r="A20" s="58" t="s">
        <v>178</v>
      </c>
      <c r="B20" s="58" t="s">
        <v>172</v>
      </c>
      <c r="C20" s="58" t="s">
        <v>55</v>
      </c>
      <c r="D20" s="58" t="s">
        <v>9</v>
      </c>
      <c r="E20" s="58" t="s">
        <v>179</v>
      </c>
      <c r="F20" s="58" t="s">
        <v>114</v>
      </c>
      <c r="G20" s="59" t="s">
        <v>115</v>
      </c>
      <c r="H20" s="59" t="s">
        <v>180</v>
      </c>
      <c r="I20" s="59" t="str">
        <f>CONCATENATE(Table_Query_from_MS_Access_Database_1[[#This Row],[RTE]],Table_Query_from_MS_Access_Database_1[[#This Row],[SEC]],Table_Query_from_MS_Access_Database_1[[#This Row],[SEQ]])</f>
        <v>999A276</v>
      </c>
      <c r="J20" s="120"/>
      <c r="K20" s="120">
        <v>41599</v>
      </c>
      <c r="L20" s="120">
        <v>41599</v>
      </c>
      <c r="M20" s="120">
        <v>41599</v>
      </c>
      <c r="N20" s="166"/>
      <c r="O20" s="166"/>
      <c r="P20" s="166">
        <v>0</v>
      </c>
      <c r="Q20" s="166">
        <f>+SUM(Table_Query_from_MS_Access_Database_1[[#This Row],[HSIP]:[STP OTHER]])</f>
        <v>0</v>
      </c>
      <c r="R20" s="172">
        <f>+R19-Table_Query_from_MS_Access_Database_1[TOTAL OF  AMOUNT]</f>
        <v>2919587.5334322597</v>
      </c>
    </row>
    <row r="21" spans="1:19" s="63" customFormat="1" ht="26.4" x14ac:dyDescent="0.3">
      <c r="A21" s="58" t="s">
        <v>141</v>
      </c>
      <c r="B21" s="58" t="s">
        <v>125</v>
      </c>
      <c r="C21" s="58" t="s">
        <v>186</v>
      </c>
      <c r="D21" s="58" t="s">
        <v>21</v>
      </c>
      <c r="E21" s="58" t="s">
        <v>142</v>
      </c>
      <c r="F21" s="58" t="s">
        <v>143</v>
      </c>
      <c r="G21" s="59" t="s">
        <v>70</v>
      </c>
      <c r="H21" s="59" t="s">
        <v>144</v>
      </c>
      <c r="I21" s="59" t="str">
        <f>CONCATENATE(Table_Query_from_MS_Access_Database_1[[#This Row],[RTE]],Table_Query_from_MS_Access_Database_1[[#This Row],[SEC]],Table_Query_from_MS_Access_Database_1[[#This Row],[SEQ]])</f>
        <v>QCR0210</v>
      </c>
      <c r="J21" s="120"/>
      <c r="K21" s="120">
        <v>41628</v>
      </c>
      <c r="L21" s="120">
        <v>41628</v>
      </c>
      <c r="M21" s="120">
        <v>41628</v>
      </c>
      <c r="N21" s="166">
        <v>-12484.8</v>
      </c>
      <c r="O21" s="166"/>
      <c r="P21" s="166"/>
      <c r="Q21" s="166">
        <f>+SUM(Table_Query_from_MS_Access_Database_1[[#This Row],[HSIP]:[STP OTHER]])</f>
        <v>-12484.8</v>
      </c>
      <c r="R21" s="172">
        <f>+R20-Table_Query_from_MS_Access_Database_1[TOTAL OF  AMOUNT]</f>
        <v>2932072.3334322595</v>
      </c>
    </row>
    <row r="22" spans="1:19" s="63" customFormat="1" ht="13.2" x14ac:dyDescent="0.3">
      <c r="A22" s="58" t="s">
        <v>130</v>
      </c>
      <c r="B22" s="58" t="s">
        <v>131</v>
      </c>
      <c r="C22" s="58" t="s">
        <v>132</v>
      </c>
      <c r="D22" s="58" t="s">
        <v>21</v>
      </c>
      <c r="E22" s="58" t="s">
        <v>133</v>
      </c>
      <c r="F22" s="58" t="s">
        <v>134</v>
      </c>
      <c r="G22" s="59" t="s">
        <v>70</v>
      </c>
      <c r="H22" s="59" t="s">
        <v>129</v>
      </c>
      <c r="I22" s="59" t="str">
        <f>CONCATENATE(Table_Query_from_MS_Access_Database_1[[#This Row],[RTE]],Table_Query_from_MS_Access_Database_1[[#This Row],[SEC]],Table_Query_from_MS_Access_Database_1[[#This Row],[SEQ]])</f>
        <v>CSG0202</v>
      </c>
      <c r="J22" s="120"/>
      <c r="K22" s="120">
        <v>41611</v>
      </c>
      <c r="L22" s="120">
        <v>41628</v>
      </c>
      <c r="M22" s="120">
        <v>41628</v>
      </c>
      <c r="N22" s="166">
        <v>-34222</v>
      </c>
      <c r="O22" s="166"/>
      <c r="P22" s="166"/>
      <c r="Q22" s="166">
        <f>+SUM(Table_Query_from_MS_Access_Database_1[[#This Row],[HSIP]:[STP OTHER]])</f>
        <v>-34222</v>
      </c>
      <c r="R22" s="172">
        <f>+R21-Table_Query_from_MS_Access_Database_1[TOTAL OF  AMOUNT]</f>
        <v>2966294.3334322595</v>
      </c>
    </row>
    <row r="23" spans="1:19" s="64" customFormat="1" ht="13.2" x14ac:dyDescent="0.3">
      <c r="A23" s="58" t="s">
        <v>135</v>
      </c>
      <c r="B23" s="58" t="s">
        <v>136</v>
      </c>
      <c r="C23" s="58" t="s">
        <v>137</v>
      </c>
      <c r="D23" s="58" t="s">
        <v>21</v>
      </c>
      <c r="E23" s="58" t="s">
        <v>138</v>
      </c>
      <c r="F23" s="58" t="s">
        <v>139</v>
      </c>
      <c r="G23" s="59" t="s">
        <v>70</v>
      </c>
      <c r="H23" s="59" t="s">
        <v>140</v>
      </c>
      <c r="I23" s="59" t="str">
        <f>CONCATENATE(Table_Query_from_MS_Access_Database_1[[#This Row],[RTE]],Table_Query_from_MS_Access_Database_1[[#This Row],[SEC]],Table_Query_from_MS_Access_Database_1[[#This Row],[SEQ]])</f>
        <v>PPN0205</v>
      </c>
      <c r="J23" s="120"/>
      <c r="K23" s="120"/>
      <c r="L23" s="120">
        <v>41642</v>
      </c>
      <c r="M23" s="120">
        <v>41649</v>
      </c>
      <c r="N23" s="166"/>
      <c r="O23" s="166"/>
      <c r="P23" s="166">
        <v>-2554</v>
      </c>
      <c r="Q23" s="166">
        <f>+SUM(Table_Query_from_MS_Access_Database_1[[#This Row],[HSIP]:[STP OTHER]])</f>
        <v>-2554</v>
      </c>
      <c r="R23" s="172">
        <f>+R22-Table_Query_from_MS_Access_Database_1[TOTAL OF  AMOUNT]</f>
        <v>2968848.3334322595</v>
      </c>
      <c r="S23" s="127"/>
    </row>
    <row r="24" spans="1:19" s="63" customFormat="1" ht="13.2" x14ac:dyDescent="0.3">
      <c r="A24" s="58" t="s">
        <v>124</v>
      </c>
      <c r="B24" s="58" t="s">
        <v>196</v>
      </c>
      <c r="C24" s="58" t="s">
        <v>126</v>
      </c>
      <c r="D24" s="58" t="s">
        <v>8</v>
      </c>
      <c r="E24" s="58" t="s">
        <v>127</v>
      </c>
      <c r="F24" s="58" t="s">
        <v>128</v>
      </c>
      <c r="G24" s="59" t="s">
        <v>70</v>
      </c>
      <c r="H24" s="59" t="s">
        <v>129</v>
      </c>
      <c r="I24" s="59" t="str">
        <f>CONCATENATE(Table_Query_from_MS_Access_Database_1[[#This Row],[RTE]],Table_Query_from_MS_Access_Database_1[[#This Row],[SEC]],Table_Query_from_MS_Access_Database_1[[#This Row],[SEQ]])</f>
        <v>CLG0202</v>
      </c>
      <c r="J24" s="120"/>
      <c r="K24" s="120">
        <v>41631</v>
      </c>
      <c r="L24" s="120">
        <v>41638</v>
      </c>
      <c r="M24" s="120">
        <v>41667</v>
      </c>
      <c r="N24" s="166">
        <v>20000</v>
      </c>
      <c r="O24" s="166"/>
      <c r="P24" s="166"/>
      <c r="Q24" s="166">
        <f>+SUM(Table_Query_from_MS_Access_Database_1[[#This Row],[HSIP]:[STP OTHER]])</f>
        <v>20000</v>
      </c>
      <c r="R24" s="172">
        <f>+R23-Table_Query_from_MS_Access_Database_1[TOTAL OF  AMOUNT]</f>
        <v>2948848.3334322595</v>
      </c>
      <c r="S24" s="84"/>
    </row>
    <row r="25" spans="1:19" s="63" customFormat="1" ht="13.2" x14ac:dyDescent="0.3">
      <c r="A25" s="58" t="s">
        <v>130</v>
      </c>
      <c r="B25" s="58" t="s">
        <v>131</v>
      </c>
      <c r="C25" s="58" t="s">
        <v>132</v>
      </c>
      <c r="D25" s="58" t="s">
        <v>21</v>
      </c>
      <c r="E25" s="58" t="s">
        <v>133</v>
      </c>
      <c r="F25" s="58" t="s">
        <v>134</v>
      </c>
      <c r="G25" s="59" t="s">
        <v>70</v>
      </c>
      <c r="H25" s="59" t="s">
        <v>129</v>
      </c>
      <c r="I25" s="59" t="str">
        <f>CONCATENATE(Table_Query_from_MS_Access_Database_1[[#This Row],[RTE]],Table_Query_from_MS_Access_Database_1[[#This Row],[SEC]],Table_Query_from_MS_Access_Database_1[[#This Row],[SEQ]])</f>
        <v>CSG0202</v>
      </c>
      <c r="J25" s="120"/>
      <c r="K25" s="120">
        <v>41631</v>
      </c>
      <c r="L25" s="120">
        <v>41631</v>
      </c>
      <c r="M25" s="120">
        <v>41667</v>
      </c>
      <c r="N25" s="166">
        <v>3176</v>
      </c>
      <c r="O25" s="166"/>
      <c r="P25" s="166"/>
      <c r="Q25" s="166">
        <f>+SUM(Table_Query_from_MS_Access_Database_1[[#This Row],[HSIP]:[STP OTHER]])</f>
        <v>3176</v>
      </c>
      <c r="R25" s="172">
        <f>+R24-Table_Query_from_MS_Access_Database_1[TOTAL OF  AMOUNT]</f>
        <v>2945672.3334322595</v>
      </c>
      <c r="S25" s="84"/>
    </row>
    <row r="26" spans="1:19" s="63" customFormat="1" ht="13.2" x14ac:dyDescent="0.3">
      <c r="A26" s="58" t="s">
        <v>124</v>
      </c>
      <c r="B26" s="58" t="s">
        <v>196</v>
      </c>
      <c r="C26" s="58" t="s">
        <v>126</v>
      </c>
      <c r="D26" s="58" t="s">
        <v>21</v>
      </c>
      <c r="E26" s="58" t="s">
        <v>127</v>
      </c>
      <c r="F26" s="58" t="s">
        <v>128</v>
      </c>
      <c r="G26" s="59" t="s">
        <v>70</v>
      </c>
      <c r="H26" s="59" t="s">
        <v>129</v>
      </c>
      <c r="I26" s="59" t="str">
        <f>CONCATENATE(Table_Query_from_MS_Access_Database_1[[#This Row],[RTE]],Table_Query_from_MS_Access_Database_1[[#This Row],[SEC]],Table_Query_from_MS_Access_Database_1[[#This Row],[SEQ]])</f>
        <v>CLG0202</v>
      </c>
      <c r="J26" s="120"/>
      <c r="K26" s="120">
        <v>41638</v>
      </c>
      <c r="L26" s="120">
        <v>41638</v>
      </c>
      <c r="M26" s="120">
        <v>41667</v>
      </c>
      <c r="N26" s="166">
        <v>-28408.16</v>
      </c>
      <c r="O26" s="166"/>
      <c r="P26" s="166"/>
      <c r="Q26" s="166">
        <f>+SUM(Table_Query_from_MS_Access_Database_1[[#This Row],[HSIP]:[STP OTHER]])</f>
        <v>-28408.16</v>
      </c>
      <c r="R26" s="172">
        <f>+R25-Table_Query_from_MS_Access_Database_1[TOTAL OF  AMOUNT]</f>
        <v>2974080.4934322597</v>
      </c>
    </row>
    <row r="27" spans="1:19" s="63" customFormat="1" ht="13.2" x14ac:dyDescent="0.3">
      <c r="A27" s="128" t="s">
        <v>120</v>
      </c>
      <c r="B27" s="128" t="s">
        <v>121</v>
      </c>
      <c r="C27" s="128" t="s">
        <v>55</v>
      </c>
      <c r="D27" s="128" t="s">
        <v>7</v>
      </c>
      <c r="E27" s="128" t="s">
        <v>122</v>
      </c>
      <c r="F27" s="128" t="s">
        <v>114</v>
      </c>
      <c r="G27" s="129" t="s">
        <v>115</v>
      </c>
      <c r="H27" s="129" t="s">
        <v>123</v>
      </c>
      <c r="I27" s="129" t="str">
        <f>CONCATENATE(Table_Query_from_MS_Access_Database_1[[#This Row],[RTE]],Table_Query_from_MS_Access_Database_1[[#This Row],[SEC]],Table_Query_from_MS_Access_Database_1[[#This Row],[SEQ]])</f>
        <v>999A418</v>
      </c>
      <c r="J27" s="130"/>
      <c r="K27" s="130">
        <v>41638</v>
      </c>
      <c r="L27" s="130">
        <v>41639</v>
      </c>
      <c r="M27" s="130">
        <v>41676</v>
      </c>
      <c r="N27" s="173"/>
      <c r="O27" s="173"/>
      <c r="P27" s="173">
        <v>50000</v>
      </c>
      <c r="Q27" s="166">
        <f>+SUM(Table_Query_from_MS_Access_Database_1[[#This Row],[HSIP]:[STP OTHER]])</f>
        <v>50000</v>
      </c>
      <c r="R27" s="172">
        <f>+R26-Table_Query_from_MS_Access_Database_1[TOTAL OF  AMOUNT]</f>
        <v>2924080.4934322597</v>
      </c>
    </row>
    <row r="28" spans="1:19" s="63" customFormat="1" ht="13.2" x14ac:dyDescent="0.3">
      <c r="A28" s="58" t="s">
        <v>161</v>
      </c>
      <c r="B28" s="58" t="s">
        <v>162</v>
      </c>
      <c r="C28" s="58" t="s">
        <v>55</v>
      </c>
      <c r="D28" s="58" t="s">
        <v>7</v>
      </c>
      <c r="E28" s="58" t="s">
        <v>163</v>
      </c>
      <c r="F28" s="58" t="s">
        <v>145</v>
      </c>
      <c r="G28" s="59" t="s">
        <v>164</v>
      </c>
      <c r="H28" s="59" t="s">
        <v>165</v>
      </c>
      <c r="I28" s="59" t="str">
        <f>CONCATENATE(Table_Query_from_MS_Access_Database_1[[#This Row],[RTE]],Table_Query_from_MS_Access_Database_1[[#This Row],[SEC]],Table_Query_from_MS_Access_Database_1[[#This Row],[SEQ]])</f>
        <v>000I184</v>
      </c>
      <c r="J28" s="131"/>
      <c r="K28" s="131">
        <v>41695</v>
      </c>
      <c r="L28" s="131">
        <v>41703</v>
      </c>
      <c r="M28" s="131">
        <v>41719</v>
      </c>
      <c r="N28" s="166"/>
      <c r="O28" s="166">
        <v>125000</v>
      </c>
      <c r="P28" s="166"/>
      <c r="Q28" s="166">
        <f>+SUM(Table_Query_from_MS_Access_Database_1[[#This Row],[HSIP]:[STP OTHER]])</f>
        <v>125000</v>
      </c>
      <c r="R28" s="172">
        <f>+R27-Table_Query_from_MS_Access_Database_1[TOTAL OF  AMOUNT]</f>
        <v>2799080.4934322597</v>
      </c>
    </row>
    <row r="29" spans="1:19" s="63" customFormat="1" ht="26.4" x14ac:dyDescent="0.3">
      <c r="A29" s="128" t="s">
        <v>77</v>
      </c>
      <c r="B29" s="128" t="s">
        <v>195</v>
      </c>
      <c r="C29" s="128" t="s">
        <v>76</v>
      </c>
      <c r="D29" s="128" t="s">
        <v>8</v>
      </c>
      <c r="E29" s="128" t="s">
        <v>111</v>
      </c>
      <c r="F29" s="128" t="s">
        <v>112</v>
      </c>
      <c r="G29" s="129" t="s">
        <v>70</v>
      </c>
      <c r="H29" s="129" t="s">
        <v>113</v>
      </c>
      <c r="I29" s="129" t="str">
        <f>CONCATENATE(Table_Query_from_MS_Access_Database_1[[#This Row],[RTE]],Table_Query_from_MS_Access_Database_1[[#This Row],[SEC]],Table_Query_from_MS_Access_Database_1[[#This Row],[SEQ]])</f>
        <v>GLB0203</v>
      </c>
      <c r="J29" s="132"/>
      <c r="K29" s="132">
        <v>41709</v>
      </c>
      <c r="L29" s="132">
        <v>41709</v>
      </c>
      <c r="M29" s="132">
        <v>41722</v>
      </c>
      <c r="N29" s="173">
        <v>2000</v>
      </c>
      <c r="O29" s="173"/>
      <c r="P29" s="173"/>
      <c r="Q29" s="166">
        <f>+SUM(Table_Query_from_MS_Access_Database_1[[#This Row],[HSIP]:[STP OTHER]])</f>
        <v>2000</v>
      </c>
      <c r="R29" s="172">
        <f>+R28-Table_Query_from_MS_Access_Database_1[TOTAL OF  AMOUNT]</f>
        <v>2797080.4934322597</v>
      </c>
    </row>
    <row r="30" spans="1:19" s="60" customFormat="1" ht="26.4" x14ac:dyDescent="0.3">
      <c r="A30" s="121" t="s">
        <v>166</v>
      </c>
      <c r="B30" s="121" t="s">
        <v>192</v>
      </c>
      <c r="C30" s="121" t="s">
        <v>167</v>
      </c>
      <c r="D30" s="121" t="s">
        <v>7</v>
      </c>
      <c r="E30" s="121" t="s">
        <v>168</v>
      </c>
      <c r="F30" s="121" t="s">
        <v>169</v>
      </c>
      <c r="G30" s="122" t="s">
        <v>115</v>
      </c>
      <c r="H30" s="122" t="s">
        <v>170</v>
      </c>
      <c r="I30" s="122" t="str">
        <f>CONCATENATE(Table_Query_from_MS_Access_Database_1[[#This Row],[RTE]],Table_Query_from_MS_Access_Database_1[[#This Row],[SEC]],Table_Query_from_MS_Access_Database_1[[#This Row],[SEQ]])</f>
        <v>094A420</v>
      </c>
      <c r="J30" s="123"/>
      <c r="K30" s="123">
        <v>41654</v>
      </c>
      <c r="L30" s="123">
        <v>41759</v>
      </c>
      <c r="M30" s="123">
        <v>41772</v>
      </c>
      <c r="N30" s="174"/>
      <c r="O30" s="174"/>
      <c r="P30" s="174">
        <v>10570</v>
      </c>
      <c r="Q30" s="166">
        <f>+SUM(Table_Query_from_MS_Access_Database_1[[#This Row],[HSIP]:[STP OTHER]])</f>
        <v>10570</v>
      </c>
      <c r="R30" s="172">
        <f>+R29-Table_Query_from_MS_Access_Database_1[TOTAL OF  AMOUNT]</f>
        <v>2786510.4934322597</v>
      </c>
    </row>
    <row r="31" spans="1:19" s="60" customFormat="1" ht="26.4" x14ac:dyDescent="0.3">
      <c r="A31" s="121" t="s">
        <v>181</v>
      </c>
      <c r="B31" s="121" t="s">
        <v>182</v>
      </c>
      <c r="C31" s="121" t="s">
        <v>183</v>
      </c>
      <c r="D31" s="121" t="s">
        <v>7</v>
      </c>
      <c r="E31" s="121" t="s">
        <v>184</v>
      </c>
      <c r="F31" s="121" t="s">
        <v>153</v>
      </c>
      <c r="G31" s="122" t="s">
        <v>70</v>
      </c>
      <c r="H31" s="122" t="s">
        <v>185</v>
      </c>
      <c r="I31" s="122" t="str">
        <f>CONCATENATE(Table_Query_from_MS_Access_Database_1[[#This Row],[RTE]],Table_Query_from_MS_Access_Database_1[[#This Row],[SEC]],Table_Query_from_MS_Access_Database_1[[#This Row],[SEQ]])</f>
        <v>GGI0207</v>
      </c>
      <c r="J31" s="123">
        <v>41730</v>
      </c>
      <c r="K31" s="123">
        <v>41754</v>
      </c>
      <c r="L31" s="123">
        <v>41767</v>
      </c>
      <c r="M31" s="123">
        <v>41788</v>
      </c>
      <c r="N31" s="174"/>
      <c r="O31" s="174"/>
      <c r="P31" s="174">
        <v>185400</v>
      </c>
      <c r="Q31" s="166">
        <f>+SUM(Table_Query_from_MS_Access_Database_1[[#This Row],[HSIP]:[STP OTHER]])</f>
        <v>185400</v>
      </c>
      <c r="R31" s="172">
        <f>+R30-Table_Query_from_MS_Access_Database_1[TOTAL OF  AMOUNT]</f>
        <v>2601110.4934322597</v>
      </c>
    </row>
    <row r="32" spans="1:19" s="60" customFormat="1" x14ac:dyDescent="0.3">
      <c r="A32" s="128" t="s">
        <v>148</v>
      </c>
      <c r="B32" s="128" t="s">
        <v>194</v>
      </c>
      <c r="C32" s="128" t="s">
        <v>69</v>
      </c>
      <c r="D32" s="58" t="s">
        <v>8</v>
      </c>
      <c r="E32" s="58" t="s">
        <v>149</v>
      </c>
      <c r="F32" s="58" t="s">
        <v>56</v>
      </c>
      <c r="G32" s="59" t="s">
        <v>70</v>
      </c>
      <c r="H32" s="59" t="s">
        <v>198</v>
      </c>
      <c r="I32" s="59" t="str">
        <f>CONCATENATE(Table_Query_from_MS_Access_Database_1[[#This Row],[RTE]],Table_Query_from_MS_Access_Database_1[[#This Row],[SEC]],Table_Query_from_MS_Access_Database_1[[#This Row],[SEQ]])</f>
        <v>PAY0206</v>
      </c>
      <c r="J32" s="120">
        <v>41851</v>
      </c>
      <c r="K32" s="120">
        <v>41789</v>
      </c>
      <c r="L32" s="120">
        <v>41794</v>
      </c>
      <c r="M32" s="120">
        <v>41809</v>
      </c>
      <c r="N32" s="166">
        <v>30000</v>
      </c>
      <c r="O32" s="166"/>
      <c r="P32" s="166"/>
      <c r="Q32" s="166">
        <f>+SUM(Table_Query_from_MS_Access_Database_1[[#This Row],[HSIP]:[STP OTHER]])</f>
        <v>30000</v>
      </c>
      <c r="R32" s="172">
        <f>+R31-Table_Query_from_MS_Access_Database_1[TOTAL OF  AMOUNT]</f>
        <v>2571110.4934322597</v>
      </c>
    </row>
    <row r="33" spans="1:18" s="60" customFormat="1" ht="26.4" x14ac:dyDescent="0.3">
      <c r="A33" s="58" t="s">
        <v>150</v>
      </c>
      <c r="B33" s="58" t="s">
        <v>151</v>
      </c>
      <c r="C33" s="58" t="s">
        <v>183</v>
      </c>
      <c r="D33" s="58" t="s">
        <v>7</v>
      </c>
      <c r="E33" s="58" t="s">
        <v>152</v>
      </c>
      <c r="F33" s="58" t="s">
        <v>153</v>
      </c>
      <c r="G33" s="59" t="s">
        <v>70</v>
      </c>
      <c r="H33" s="59" t="s">
        <v>154</v>
      </c>
      <c r="I33" s="59" t="str">
        <f>CONCATENATE(Table_Query_from_MS_Access_Database_1[[#This Row],[RTE]],Table_Query_from_MS_Access_Database_1[[#This Row],[SEC]],Table_Query_from_MS_Access_Database_1[[#This Row],[SEQ]])</f>
        <v>GGI0212</v>
      </c>
      <c r="J33" s="120">
        <v>41781</v>
      </c>
      <c r="K33" s="120">
        <v>41768</v>
      </c>
      <c r="L33" s="120">
        <v>41774</v>
      </c>
      <c r="M33" s="120">
        <v>41816</v>
      </c>
      <c r="N33" s="166"/>
      <c r="O33" s="166"/>
      <c r="P33" s="166">
        <v>1350979</v>
      </c>
      <c r="Q33" s="166">
        <f>+SUM(Table_Query_from_MS_Access_Database_1[[#This Row],[HSIP]:[STP OTHER]])</f>
        <v>1350979</v>
      </c>
      <c r="R33" s="172">
        <f>+R32-Table_Query_from_MS_Access_Database_1[TOTAL OF  AMOUNT]</f>
        <v>1220131.4934322597</v>
      </c>
    </row>
    <row r="34" spans="1:18" s="60" customFormat="1" x14ac:dyDescent="0.3">
      <c r="A34" s="58" t="s">
        <v>197</v>
      </c>
      <c r="B34" s="58" t="s">
        <v>193</v>
      </c>
      <c r="C34" s="58" t="s">
        <v>69</v>
      </c>
      <c r="D34" s="58" t="s">
        <v>7</v>
      </c>
      <c r="E34" s="58" t="s">
        <v>146</v>
      </c>
      <c r="F34" s="58" t="s">
        <v>56</v>
      </c>
      <c r="G34" s="59" t="s">
        <v>70</v>
      </c>
      <c r="H34" s="59" t="s">
        <v>140</v>
      </c>
      <c r="I34" s="59" t="str">
        <f>CONCATENATE(Table_Query_from_MS_Access_Database_1[[#This Row],[RTE]],Table_Query_from_MS_Access_Database_1[[#This Row],[SEC]],Table_Query_from_MS_Access_Database_1[[#This Row],[SEQ]])</f>
        <v>PAY0205</v>
      </c>
      <c r="J34" s="120"/>
      <c r="K34" s="120">
        <v>41789</v>
      </c>
      <c r="L34" s="120">
        <v>41794</v>
      </c>
      <c r="M34" s="120">
        <v>41817</v>
      </c>
      <c r="N34" s="166">
        <v>30000</v>
      </c>
      <c r="O34" s="166"/>
      <c r="P34" s="166"/>
      <c r="Q34" s="166">
        <f>+SUM(Table_Query_from_MS_Access_Database_1[[#This Row],[HSIP]:[STP OTHER]])</f>
        <v>30000</v>
      </c>
      <c r="R34" s="172">
        <f>+R33-Table_Query_from_MS_Access_Database_1[TOTAL OF  AMOUNT]</f>
        <v>1190131.4934322597</v>
      </c>
    </row>
    <row r="35" spans="1:18" s="60" customFormat="1" x14ac:dyDescent="0.3">
      <c r="A35" s="58" t="s">
        <v>212</v>
      </c>
      <c r="B35" s="58" t="s">
        <v>193</v>
      </c>
      <c r="C35" s="58" t="s">
        <v>69</v>
      </c>
      <c r="D35" s="58" t="s">
        <v>7</v>
      </c>
      <c r="E35" s="58" t="s">
        <v>146</v>
      </c>
      <c r="F35" s="58" t="s">
        <v>56</v>
      </c>
      <c r="G35" s="59" t="s">
        <v>70</v>
      </c>
      <c r="H35" s="59" t="s">
        <v>140</v>
      </c>
      <c r="I35" s="59" t="str">
        <f>CONCATENATE(Table_Query_from_MS_Access_Database_1[[#This Row],[RTE]],Table_Query_from_MS_Access_Database_1[[#This Row],[SEC]],Table_Query_from_MS_Access_Database_1[[#This Row],[SEQ]])</f>
        <v>PAY0205</v>
      </c>
      <c r="J35" s="120">
        <v>41805</v>
      </c>
      <c r="K35" s="120">
        <v>41800</v>
      </c>
      <c r="L35" s="120">
        <v>41802</v>
      </c>
      <c r="M35" s="120">
        <v>41820</v>
      </c>
      <c r="N35" s="166">
        <v>49088</v>
      </c>
      <c r="O35" s="166"/>
      <c r="P35" s="166"/>
      <c r="Q35" s="166">
        <f>+SUM(Table_Query_from_MS_Access_Database_1[[#This Row],[HSIP]:[STP OTHER]])</f>
        <v>49088</v>
      </c>
      <c r="R35" s="172">
        <f>+R34-Table_Query_from_MS_Access_Database_1[TOTAL OF  AMOUNT]</f>
        <v>1141043.4934322597</v>
      </c>
    </row>
    <row r="36" spans="1:18" s="60" customFormat="1" ht="26.4" x14ac:dyDescent="0.3">
      <c r="A36" s="58" t="s">
        <v>214</v>
      </c>
      <c r="B36" s="58" t="s">
        <v>215</v>
      </c>
      <c r="C36" s="58" t="s">
        <v>76</v>
      </c>
      <c r="D36" s="58" t="s">
        <v>7</v>
      </c>
      <c r="E36" s="58" t="s">
        <v>147</v>
      </c>
      <c r="F36" s="58" t="s">
        <v>112</v>
      </c>
      <c r="G36" s="59" t="s">
        <v>70</v>
      </c>
      <c r="H36" s="59" t="s">
        <v>140</v>
      </c>
      <c r="I36" s="59" t="str">
        <f>CONCATENATE(Table_Query_from_MS_Access_Database_1[[#This Row],[RTE]],Table_Query_from_MS_Access_Database_1[[#This Row],[SEC]],Table_Query_from_MS_Access_Database_1[[#This Row],[SEQ]])</f>
        <v>GLB0205</v>
      </c>
      <c r="J36" s="120"/>
      <c r="K36" s="120">
        <v>41803</v>
      </c>
      <c r="L36" s="120">
        <v>41815</v>
      </c>
      <c r="M36" s="120">
        <v>41820</v>
      </c>
      <c r="N36" s="166">
        <v>181115</v>
      </c>
      <c r="O36" s="166"/>
      <c r="P36" s="166"/>
      <c r="Q36" s="166">
        <f>+SUM(Table_Query_from_MS_Access_Database_1[[#This Row],[HSIP]:[STP OTHER]])</f>
        <v>181115</v>
      </c>
      <c r="R36" s="172">
        <f>+R35-Table_Query_from_MS_Access_Database_1[TOTAL OF  AMOUNT]</f>
        <v>959928.49343225965</v>
      </c>
    </row>
    <row r="37" spans="1:18" s="60" customFormat="1" x14ac:dyDescent="0.3">
      <c r="A37" s="58" t="s">
        <v>216</v>
      </c>
      <c r="B37" s="58" t="s">
        <v>194</v>
      </c>
      <c r="C37" s="58" t="s">
        <v>69</v>
      </c>
      <c r="D37" s="58" t="s">
        <v>7</v>
      </c>
      <c r="E37" s="58" t="s">
        <v>149</v>
      </c>
      <c r="F37" s="58" t="s">
        <v>56</v>
      </c>
      <c r="G37" s="59" t="s">
        <v>70</v>
      </c>
      <c r="H37" s="59" t="s">
        <v>198</v>
      </c>
      <c r="I37" s="59" t="str">
        <f>CONCATENATE(Table_Query_from_MS_Access_Database_1[[#This Row],[RTE]],Table_Query_from_MS_Access_Database_1[[#This Row],[SEC]],Table_Query_from_MS_Access_Database_1[[#This Row],[SEQ]])</f>
        <v>PAY0206</v>
      </c>
      <c r="J37" s="120"/>
      <c r="K37" s="120">
        <v>41813</v>
      </c>
      <c r="L37" s="120">
        <v>41814</v>
      </c>
      <c r="M37" s="120">
        <v>41820</v>
      </c>
      <c r="N37" s="166">
        <v>91561</v>
      </c>
      <c r="O37" s="166"/>
      <c r="P37" s="166"/>
      <c r="Q37" s="166">
        <f>+SUM(Table_Query_from_MS_Access_Database_1[[#This Row],[HSIP]:[STP OTHER]])</f>
        <v>91561</v>
      </c>
      <c r="R37" s="172">
        <f>+R36-Table_Query_from_MS_Access_Database_1[TOTAL OF  AMOUNT]</f>
        <v>868367.49343225965</v>
      </c>
    </row>
    <row r="38" spans="1:18" s="60" customFormat="1" x14ac:dyDescent="0.3">
      <c r="A38" s="58" t="s">
        <v>220</v>
      </c>
      <c r="B38" s="58"/>
      <c r="C38" s="58" t="s">
        <v>55</v>
      </c>
      <c r="D38" s="58" t="s">
        <v>7</v>
      </c>
      <c r="E38" s="58" t="s">
        <v>218</v>
      </c>
      <c r="F38" s="58" t="s">
        <v>114</v>
      </c>
      <c r="G38" s="59" t="s">
        <v>115</v>
      </c>
      <c r="H38" s="59" t="s">
        <v>219</v>
      </c>
      <c r="I38" s="59" t="str">
        <f>CONCATENATE(Table_Query_from_MS_Access_Database_1[[#This Row],[RTE]],Table_Query_from_MS_Access_Database_1[[#This Row],[SEC]],Table_Query_from_MS_Access_Database_1[[#This Row],[SEQ]])</f>
        <v>999A455</v>
      </c>
      <c r="J38" s="120"/>
      <c r="K38" s="120">
        <v>41803</v>
      </c>
      <c r="L38" s="120">
        <v>41816</v>
      </c>
      <c r="M38" s="120">
        <v>41820</v>
      </c>
      <c r="N38" s="166">
        <v>168996</v>
      </c>
      <c r="O38" s="166"/>
      <c r="P38" s="166"/>
      <c r="Q38" s="166">
        <f>+SUM(Table_Query_from_MS_Access_Database_1[[#This Row],[HSIP]:[STP OTHER]])</f>
        <v>168996</v>
      </c>
      <c r="R38" s="172">
        <f>+R37-Table_Query_from_MS_Access_Database_1[TOTAL OF  AMOUNT]</f>
        <v>699371.49343225965</v>
      </c>
    </row>
    <row r="39" spans="1:18" s="60" customFormat="1" x14ac:dyDescent="0.3">
      <c r="A39" s="133" t="s">
        <v>217</v>
      </c>
      <c r="B39" s="133"/>
      <c r="C39" s="133" t="s">
        <v>55</v>
      </c>
      <c r="D39" s="133" t="s">
        <v>7</v>
      </c>
      <c r="E39" s="133" t="s">
        <v>218</v>
      </c>
      <c r="F39" s="133" t="s">
        <v>114</v>
      </c>
      <c r="G39" s="134" t="s">
        <v>115</v>
      </c>
      <c r="H39" s="134" t="s">
        <v>219</v>
      </c>
      <c r="I39" s="134" t="str">
        <f>CONCATENATE(Table_Query_from_MS_Access_Database_1[[#This Row],[RTE]],Table_Query_from_MS_Access_Database_1[[#This Row],[SEC]],Table_Query_from_MS_Access_Database_1[[#This Row],[SEQ]])</f>
        <v>999A455</v>
      </c>
      <c r="J39" s="135"/>
      <c r="K39" s="135">
        <v>41803</v>
      </c>
      <c r="L39" s="135">
        <v>41816</v>
      </c>
      <c r="M39" s="135">
        <v>41820</v>
      </c>
      <c r="N39" s="175">
        <v>9430</v>
      </c>
      <c r="O39" s="175"/>
      <c r="P39" s="175"/>
      <c r="Q39" s="176">
        <f>+SUM(Table_Query_from_MS_Access_Database_1[[#This Row],[HSIP]:[STP OTHER]])</f>
        <v>9430</v>
      </c>
      <c r="R39" s="172">
        <f>+R38-Table_Query_from_MS_Access_Database_1[TOTAL OF  AMOUNT]</f>
        <v>689941.49343225965</v>
      </c>
    </row>
    <row r="40" spans="1:18" s="60" customFormat="1" ht="26.4" x14ac:dyDescent="0.3">
      <c r="A40" s="145" t="s">
        <v>230</v>
      </c>
      <c r="B40" s="145"/>
      <c r="C40" s="145" t="s">
        <v>183</v>
      </c>
      <c r="D40" s="145" t="s">
        <v>21</v>
      </c>
      <c r="E40" s="145" t="s">
        <v>231</v>
      </c>
      <c r="F40" s="145" t="s">
        <v>153</v>
      </c>
      <c r="G40" s="147" t="s">
        <v>70</v>
      </c>
      <c r="H40" s="147" t="s">
        <v>144</v>
      </c>
      <c r="I40" s="147" t="str">
        <f>CONCATENATE(Table_Query_from_MS_Access_Database_1[[#This Row],[RTE]],Table_Query_from_MS_Access_Database_1[[#This Row],[SEC]],Table_Query_from_MS_Access_Database_1[[#This Row],[SEQ]])</f>
        <v>GGI0210</v>
      </c>
      <c r="J40" s="149"/>
      <c r="K40" s="149">
        <v>41821</v>
      </c>
      <c r="L40" s="149">
        <v>41838</v>
      </c>
      <c r="M40" s="149">
        <v>41844</v>
      </c>
      <c r="N40" s="177"/>
      <c r="O40" s="177"/>
      <c r="P40" s="177">
        <v>-9438</v>
      </c>
      <c r="Q40" s="177">
        <f>+SUM(Table_Query_from_MS_Access_Database_1[[#This Row],[HSIP]:[STP OTHER]])</f>
        <v>-9438</v>
      </c>
      <c r="R40" s="172">
        <f>+R39-Table_Query_from_MS_Access_Database_1[TOTAL OF  AMOUNT]</f>
        <v>699379.49343225965</v>
      </c>
    </row>
    <row r="41" spans="1:18" s="60" customFormat="1" ht="26.4" x14ac:dyDescent="0.3">
      <c r="A41" s="146" t="s">
        <v>227</v>
      </c>
      <c r="B41" s="146"/>
      <c r="C41" s="146" t="s">
        <v>183</v>
      </c>
      <c r="D41" s="146" t="s">
        <v>21</v>
      </c>
      <c r="E41" s="146" t="s">
        <v>228</v>
      </c>
      <c r="F41" s="146" t="s">
        <v>153</v>
      </c>
      <c r="G41" s="148" t="s">
        <v>70</v>
      </c>
      <c r="H41" s="148" t="s">
        <v>229</v>
      </c>
      <c r="I41" s="148" t="str">
        <f>CONCATENATE(Table_Query_from_MS_Access_Database_1[[#This Row],[RTE]],Table_Query_from_MS_Access_Database_1[[#This Row],[SEC]],Table_Query_from_MS_Access_Database_1[[#This Row],[SEQ]])</f>
        <v>GGI0209</v>
      </c>
      <c r="J41" s="150"/>
      <c r="K41" s="150">
        <v>41821</v>
      </c>
      <c r="L41" s="150">
        <v>41838</v>
      </c>
      <c r="M41" s="150">
        <v>41844</v>
      </c>
      <c r="N41" s="178">
        <v>-1850</v>
      </c>
      <c r="O41" s="178"/>
      <c r="P41" s="178"/>
      <c r="Q41" s="178">
        <f>+SUM(Table_Query_from_MS_Access_Database_1[[#This Row],[HSIP]:[STP OTHER]])</f>
        <v>-1850</v>
      </c>
      <c r="R41" s="172">
        <f>+R40-Table_Query_from_MS_Access_Database_1[TOTAL OF  AMOUNT]</f>
        <v>701229.49343225965</v>
      </c>
    </row>
    <row r="42" spans="1:18" s="60" customFormat="1" x14ac:dyDescent="0.3">
      <c r="A42" s="146" t="s">
        <v>208</v>
      </c>
      <c r="B42" s="146" t="s">
        <v>209</v>
      </c>
      <c r="C42" s="146" t="s">
        <v>167</v>
      </c>
      <c r="D42" s="146" t="s">
        <v>7</v>
      </c>
      <c r="E42" s="146" t="s">
        <v>210</v>
      </c>
      <c r="F42" s="146" t="s">
        <v>211</v>
      </c>
      <c r="G42" s="148" t="s">
        <v>115</v>
      </c>
      <c r="H42" s="148" t="s">
        <v>213</v>
      </c>
      <c r="I42" s="148" t="str">
        <f>CONCATENATE(Table_Query_from_MS_Access_Database_1[[#This Row],[RTE]],Table_Query_from_MS_Access_Database_1[[#This Row],[SEC]],Table_Query_from_MS_Access_Database_1[[#This Row],[SEQ]])</f>
        <v>070A216</v>
      </c>
      <c r="J42" s="150">
        <v>41851</v>
      </c>
      <c r="K42" s="150">
        <v>41813</v>
      </c>
      <c r="L42" s="150">
        <v>41831</v>
      </c>
      <c r="M42" s="150">
        <v>41851</v>
      </c>
      <c r="N42" s="178"/>
      <c r="O42" s="178"/>
      <c r="P42" s="178">
        <v>128940</v>
      </c>
      <c r="Q42" s="178">
        <f>+SUM(Table_Query_from_MS_Access_Database_1[[#This Row],[HSIP]:[STP OTHER]])</f>
        <v>128940</v>
      </c>
      <c r="R42" s="172">
        <f>+R41-Table_Query_from_MS_Access_Database_1[TOTAL OF  AMOUNT]</f>
        <v>572289.49343225965</v>
      </c>
    </row>
    <row r="43" spans="1:18" s="60" customFormat="1" ht="26.4" x14ac:dyDescent="0.3">
      <c r="A43" s="128" t="s">
        <v>199</v>
      </c>
      <c r="B43" s="128" t="s">
        <v>200</v>
      </c>
      <c r="C43" s="128" t="s">
        <v>69</v>
      </c>
      <c r="D43" s="128" t="s">
        <v>8</v>
      </c>
      <c r="E43" s="128" t="s">
        <v>201</v>
      </c>
      <c r="F43" s="128" t="s">
        <v>56</v>
      </c>
      <c r="G43" s="129" t="s">
        <v>70</v>
      </c>
      <c r="H43" s="129" t="s">
        <v>113</v>
      </c>
      <c r="I43" s="129" t="str">
        <f>CONCATENATE(Table_Query_from_MS_Access_Database_1[[#This Row],[RTE]],Table_Query_from_MS_Access_Database_1[[#This Row],[SEC]],Table_Query_from_MS_Access_Database_1[[#This Row],[SEQ]])</f>
        <v>PAY0203</v>
      </c>
      <c r="J43" s="130">
        <v>41835</v>
      </c>
      <c r="K43" s="130">
        <v>41820</v>
      </c>
      <c r="L43" s="130">
        <v>41848</v>
      </c>
      <c r="M43" s="130">
        <v>41852</v>
      </c>
      <c r="N43" s="173"/>
      <c r="O43" s="173"/>
      <c r="P43" s="173">
        <v>100000</v>
      </c>
      <c r="Q43" s="173">
        <f>+SUM(Table_Query_from_MS_Access_Database_1[[#This Row],[HSIP]:[STP OTHER]])</f>
        <v>100000</v>
      </c>
      <c r="R43" s="172">
        <f>+R42-Table_Query_from_MS_Access_Database_1[TOTAL OF  AMOUNT]</f>
        <v>472289.49343225965</v>
      </c>
    </row>
    <row r="44" spans="1:18" s="60" customFormat="1" ht="26.4" x14ac:dyDescent="0.3">
      <c r="A44" s="179" t="s">
        <v>205</v>
      </c>
      <c r="B44" s="179" t="s">
        <v>206</v>
      </c>
      <c r="C44" s="179" t="s">
        <v>76</v>
      </c>
      <c r="D44" s="179" t="s">
        <v>7</v>
      </c>
      <c r="E44" s="179" t="s">
        <v>207</v>
      </c>
      <c r="F44" s="179" t="s">
        <v>112</v>
      </c>
      <c r="G44" s="180" t="s">
        <v>70</v>
      </c>
      <c r="H44" s="180" t="s">
        <v>185</v>
      </c>
      <c r="I44" s="180" t="str">
        <f>CONCATENATE(Table_Query_from_MS_Access_Database_1[[#This Row],[RTE]],Table_Query_from_MS_Access_Database_1[[#This Row],[SEC]],Table_Query_from_MS_Access_Database_1[[#This Row],[SEQ]])</f>
        <v>GLB0207</v>
      </c>
      <c r="J44" s="181">
        <v>41835</v>
      </c>
      <c r="K44" s="181">
        <v>41820</v>
      </c>
      <c r="L44" s="181">
        <v>41848</v>
      </c>
      <c r="M44" s="181">
        <v>41873</v>
      </c>
      <c r="N44" s="182"/>
      <c r="O44" s="182"/>
      <c r="P44" s="182">
        <v>214464</v>
      </c>
      <c r="Q44" s="182">
        <f>+SUM(Table_Query_from_MS_Access_Database_1[[#This Row],[HSIP]:[STP OTHER]])</f>
        <v>214464</v>
      </c>
      <c r="R44" s="172">
        <f>+R43-Table_Query_from_MS_Access_Database_1[TOTAL OF  AMOUNT]</f>
        <v>257825.49343225965</v>
      </c>
    </row>
    <row r="45" spans="1:18" s="60" customFormat="1" x14ac:dyDescent="0.3">
      <c r="A45" s="128" t="s">
        <v>245</v>
      </c>
      <c r="B45" s="128" t="s">
        <v>246</v>
      </c>
      <c r="C45" s="128" t="s">
        <v>55</v>
      </c>
      <c r="D45" s="128" t="s">
        <v>7</v>
      </c>
      <c r="E45" s="128" t="s">
        <v>163</v>
      </c>
      <c r="F45" s="128" t="s">
        <v>145</v>
      </c>
      <c r="G45" s="129" t="s">
        <v>164</v>
      </c>
      <c r="H45" s="129" t="s">
        <v>247</v>
      </c>
      <c r="I45" s="129" t="str">
        <f>CONCATENATE(Table_Query_from_MS_Access_Database_1[[#This Row],[RTE]],Table_Query_from_MS_Access_Database_1[[#This Row],[SEC]],Table_Query_from_MS_Access_Database_1[[#This Row],[SEQ]])</f>
        <v>000I186</v>
      </c>
      <c r="J45" s="130"/>
      <c r="K45" s="130">
        <v>41869</v>
      </c>
      <c r="L45" s="130">
        <v>41879</v>
      </c>
      <c r="M45" s="130">
        <v>41891</v>
      </c>
      <c r="N45" s="173"/>
      <c r="O45" s="173">
        <v>31250</v>
      </c>
      <c r="P45" s="173"/>
      <c r="Q45" s="173">
        <f>+SUM(Table_Query_from_MS_Access_Database_1[[#This Row],[HSIP]:[STP OTHER]])</f>
        <v>31250</v>
      </c>
      <c r="R45" s="172">
        <f>+R44-Table_Query_from_MS_Access_Database_1[TOTAL OF  AMOUNT]</f>
        <v>226575.49343225965</v>
      </c>
    </row>
    <row r="46" spans="1:18" s="60" customFormat="1" x14ac:dyDescent="0.3">
      <c r="A46" s="133" t="s">
        <v>202</v>
      </c>
      <c r="B46" s="133" t="s">
        <v>203</v>
      </c>
      <c r="C46" s="133" t="s">
        <v>76</v>
      </c>
      <c r="D46" s="133" t="s">
        <v>7</v>
      </c>
      <c r="E46" s="133" t="s">
        <v>204</v>
      </c>
      <c r="F46" s="133" t="s">
        <v>112</v>
      </c>
      <c r="G46" s="134" t="s">
        <v>70</v>
      </c>
      <c r="H46" s="134" t="s">
        <v>198</v>
      </c>
      <c r="I46" s="134" t="str">
        <f>CONCATENATE(Table_Query_from_MS_Access_Database_1[[#This Row],[RTE]],Table_Query_from_MS_Access_Database_1[[#This Row],[SEC]],Table_Query_from_MS_Access_Database_1[[#This Row],[SEQ]])</f>
        <v>GLB0206</v>
      </c>
      <c r="J46" s="135">
        <v>41835</v>
      </c>
      <c r="K46" s="135">
        <v>41820</v>
      </c>
      <c r="L46" s="135">
        <v>41848</v>
      </c>
      <c r="M46" s="135">
        <v>41901</v>
      </c>
      <c r="N46" s="175"/>
      <c r="O46" s="175"/>
      <c r="P46" s="175">
        <v>210000</v>
      </c>
      <c r="Q46" s="175">
        <f>+SUM(Table_Query_from_MS_Access_Database_1[[#This Row],[HSIP]:[STP OTHER]])</f>
        <v>210000</v>
      </c>
      <c r="R46" s="172">
        <f>+R45-Table_Query_from_MS_Access_Database_1[TOTAL OF  AMOUNT]</f>
        <v>16575.493432259653</v>
      </c>
    </row>
    <row r="47" spans="1:18" s="60" customFormat="1" x14ac:dyDescent="0.3">
      <c r="A47" s="63"/>
      <c r="B47" s="63"/>
      <c r="C47" s="63"/>
      <c r="D47" s="63"/>
      <c r="E47" s="63"/>
      <c r="F47" s="64"/>
      <c r="G47" s="64"/>
      <c r="H47" s="64"/>
      <c r="I47" s="64"/>
      <c r="J47" s="65"/>
      <c r="K47" s="65"/>
      <c r="L47" s="65"/>
      <c r="M47" s="66" t="s">
        <v>103</v>
      </c>
      <c r="N47" s="168">
        <f>SUM(Table_Query_from_MS_Access_Database_1[HSIP])</f>
        <v>476801.04</v>
      </c>
      <c r="O47" s="168">
        <f>SUM(Table_Query_from_MS_Access_Database_1[SPR])</f>
        <v>156250</v>
      </c>
      <c r="P47" s="168">
        <f>SUM(Table_Query_from_MS_Access_Database_1[STP OTHER])</f>
        <v>2238361</v>
      </c>
      <c r="Q47" s="168">
        <f>SUM(Table_Query_from_MS_Access_Database_1[TOTAL OF  AMOUNT])</f>
        <v>2871412.04</v>
      </c>
      <c r="R47" s="171"/>
    </row>
    <row r="48" spans="1:18" s="60" customFormat="1" x14ac:dyDescent="0.3">
      <c r="A48" s="55"/>
      <c r="B48" s="55"/>
      <c r="C48" s="55"/>
      <c r="D48" s="55"/>
      <c r="E48" s="55"/>
      <c r="F48" s="55"/>
      <c r="G48" s="55"/>
      <c r="H48" s="55"/>
      <c r="I48" s="55"/>
      <c r="J48" s="67"/>
      <c r="K48" s="67"/>
      <c r="L48" s="67"/>
      <c r="M48" s="68" t="s">
        <v>102</v>
      </c>
      <c r="N48" s="170">
        <f>+N12-N47</f>
        <v>42965.960000000021</v>
      </c>
      <c r="O48" s="170">
        <f>+O12-O47</f>
        <v>0</v>
      </c>
      <c r="P48" s="170">
        <f>+P12-P47</f>
        <v>148578.12000000011</v>
      </c>
      <c r="Q48" s="170">
        <f>+Q12-Q47</f>
        <v>191544.08000000007</v>
      </c>
      <c r="R48" s="171"/>
    </row>
    <row r="49" spans="1:18" s="60" customFormat="1" x14ac:dyDescent="0.3">
      <c r="A49" s="56"/>
      <c r="B49" s="56"/>
      <c r="C49" s="56"/>
      <c r="D49" s="56"/>
      <c r="E49" s="56"/>
      <c r="F49" s="56"/>
      <c r="G49" s="56"/>
      <c r="H49" s="56"/>
      <c r="I49" s="56"/>
      <c r="J49" s="69"/>
      <c r="K49" s="69"/>
      <c r="L49" s="69"/>
      <c r="M49" s="70"/>
      <c r="N49" s="54"/>
      <c r="O49" s="54"/>
      <c r="P49" s="54"/>
      <c r="Q49" s="54"/>
    </row>
    <row r="50" spans="1:18" s="60" customFormat="1" ht="16.8" x14ac:dyDescent="0.35">
      <c r="A50" s="188" t="s">
        <v>37</v>
      </c>
      <c r="B50" s="188"/>
      <c r="C50" s="188"/>
      <c r="D50" s="188"/>
      <c r="E50" s="71"/>
      <c r="F50" s="71"/>
      <c r="G50" s="72"/>
      <c r="H50" s="72"/>
      <c r="I50" s="72"/>
      <c r="J50" s="73"/>
      <c r="K50" s="74"/>
      <c r="L50" s="74"/>
      <c r="M50" s="74"/>
      <c r="N50" s="75"/>
      <c r="O50" s="54"/>
      <c r="P50" s="54"/>
      <c r="Q50" s="56"/>
      <c r="R50" s="56"/>
    </row>
    <row r="51" spans="1:18" s="60" customFormat="1" ht="39.6" x14ac:dyDescent="0.3">
      <c r="A51" s="76" t="s">
        <v>1</v>
      </c>
      <c r="B51" s="77" t="s">
        <v>0</v>
      </c>
      <c r="C51" s="77" t="s">
        <v>3</v>
      </c>
      <c r="D51" s="77" t="s">
        <v>109</v>
      </c>
      <c r="E51" s="77" t="s">
        <v>2</v>
      </c>
      <c r="F51" s="77" t="s">
        <v>60</v>
      </c>
      <c r="G51" s="77" t="s">
        <v>61</v>
      </c>
      <c r="H51" s="77" t="s">
        <v>62</v>
      </c>
      <c r="I51" s="77" t="s">
        <v>73</v>
      </c>
      <c r="J51" s="77" t="s">
        <v>63</v>
      </c>
      <c r="K51" s="77" t="s">
        <v>64</v>
      </c>
      <c r="L51" s="77" t="s">
        <v>65</v>
      </c>
      <c r="M51" s="77" t="s">
        <v>66</v>
      </c>
      <c r="N51" s="78" t="s">
        <v>4</v>
      </c>
      <c r="O51" s="79" t="s">
        <v>5</v>
      </c>
      <c r="P51" s="78" t="s">
        <v>72</v>
      </c>
      <c r="Q51" s="78" t="s">
        <v>117</v>
      </c>
      <c r="R51" s="115" t="s">
        <v>74</v>
      </c>
    </row>
    <row r="52" spans="1:18" s="60" customFormat="1" x14ac:dyDescent="0.3">
      <c r="A52" s="80"/>
      <c r="B52" s="81"/>
      <c r="C52" s="81"/>
      <c r="D52" s="81"/>
      <c r="E52" s="81"/>
      <c r="F52" s="81"/>
      <c r="G52" s="81"/>
      <c r="H52" s="81"/>
      <c r="I52" s="81" t="str">
        <f>CONCATENATE(Table_Query_from_MS_Access_Database_2[RTE],Table_Query_from_MS_Access_Database_2[SEC],Table_Query_from_MS_Access_Database_2[SEQ])</f>
        <v/>
      </c>
      <c r="J52" s="82"/>
      <c r="K52" s="82"/>
      <c r="L52" s="82"/>
      <c r="M52" s="82"/>
      <c r="N52" s="165"/>
      <c r="O52" s="183"/>
      <c r="P52" s="165"/>
      <c r="Q52" s="166">
        <f>+SUM(Table_Query_from_MS_Access_Database_2[[#This Row],[HSIP]:[STP OTHER]])</f>
        <v>0</v>
      </c>
      <c r="R52" s="167">
        <f>R46-Table_Query_from_MS_Access_Database_2[TOTAL OF AMOUNT]</f>
        <v>16575.493432259653</v>
      </c>
    </row>
    <row r="53" spans="1:18" s="60" customFormat="1" x14ac:dyDescent="0.3">
      <c r="A53" s="63"/>
      <c r="B53" s="63"/>
      <c r="C53" s="63"/>
      <c r="D53" s="63"/>
      <c r="E53" s="63"/>
      <c r="F53" s="63"/>
      <c r="G53" s="63"/>
      <c r="H53" s="63"/>
      <c r="I53" s="63"/>
      <c r="J53" s="83"/>
      <c r="K53" s="83"/>
      <c r="L53" s="83"/>
      <c r="M53" s="66" t="s">
        <v>118</v>
      </c>
      <c r="N53" s="168">
        <f>SUM(Table_Query_from_MS_Access_Database_2[[#All],[HSIP]])</f>
        <v>0</v>
      </c>
      <c r="O53" s="168">
        <f>SUM(Table_Query_from_MS_Access_Database_2[[#All],[SPR]])</f>
        <v>0</v>
      </c>
      <c r="P53" s="168">
        <f>SUM(Table_Query_from_MS_Access_Database_2[[#All],[STP OTHER]])</f>
        <v>0</v>
      </c>
      <c r="Q53" s="168">
        <f>SUM(Table_Query_from_MS_Access_Database_2[[#All],[TOTAL OF AMOUNT]])</f>
        <v>0</v>
      </c>
      <c r="R53" s="169"/>
    </row>
    <row r="54" spans="1:18" s="60" customFormat="1" x14ac:dyDescent="0.3">
      <c r="A54" s="63"/>
      <c r="B54" s="85"/>
      <c r="C54" s="85"/>
      <c r="D54" s="85"/>
      <c r="E54" s="63"/>
      <c r="F54" s="63"/>
      <c r="G54" s="63"/>
      <c r="H54" s="63"/>
      <c r="I54" s="63"/>
      <c r="J54" s="83"/>
      <c r="K54" s="83"/>
      <c r="L54" s="83"/>
      <c r="M54" s="68" t="s">
        <v>102</v>
      </c>
      <c r="N54" s="170">
        <f>+N48-N53</f>
        <v>42965.960000000021</v>
      </c>
      <c r="O54" s="170">
        <f>+O48-O53</f>
        <v>0</v>
      </c>
      <c r="P54" s="170">
        <f>+P48-P53</f>
        <v>148578.12000000011</v>
      </c>
      <c r="Q54" s="170">
        <f>+Q48-Q53</f>
        <v>191544.08000000007</v>
      </c>
      <c r="R54" s="171"/>
    </row>
    <row r="55" spans="1:18" s="60" customFormat="1" x14ac:dyDescent="0.3">
      <c r="J55" s="61"/>
      <c r="K55" s="61"/>
      <c r="L55" s="61"/>
      <c r="M55" s="61"/>
      <c r="N55" s="62"/>
      <c r="O55" s="62"/>
      <c r="P55" s="62"/>
      <c r="Q55" s="62"/>
    </row>
    <row r="56" spans="1:18" s="63" customFormat="1" x14ac:dyDescent="0.3">
      <c r="A56" s="60"/>
      <c r="B56" s="60"/>
      <c r="C56" s="60"/>
      <c r="D56" s="60"/>
      <c r="E56" s="60"/>
      <c r="F56" s="60"/>
      <c r="G56" s="60"/>
      <c r="H56" s="60"/>
      <c r="I56" s="60"/>
      <c r="J56" s="61"/>
      <c r="K56" s="61"/>
      <c r="L56" s="61"/>
      <c r="M56" s="61"/>
      <c r="N56" s="62"/>
      <c r="O56" s="62"/>
      <c r="P56" s="62"/>
      <c r="Q56" s="62"/>
      <c r="R56" s="60"/>
    </row>
    <row r="57" spans="1:18" s="63" customFormat="1" ht="16.8" x14ac:dyDescent="0.3">
      <c r="A57" s="86" t="s">
        <v>241</v>
      </c>
      <c r="B57" s="60"/>
      <c r="C57" s="60"/>
      <c r="D57" s="60"/>
      <c r="E57" s="60"/>
      <c r="F57" s="60"/>
      <c r="G57" s="60"/>
      <c r="H57" s="60"/>
      <c r="I57" s="60"/>
      <c r="J57" s="61"/>
      <c r="K57" s="61"/>
      <c r="L57" s="61"/>
      <c r="M57" s="61"/>
      <c r="N57" s="186" t="s">
        <v>85</v>
      </c>
      <c r="O57" s="186"/>
      <c r="P57" s="186"/>
      <c r="Q57" s="186"/>
      <c r="R57" s="71"/>
    </row>
    <row r="58" spans="1:18" s="63" customFormat="1" x14ac:dyDescent="0.3">
      <c r="A58" s="60"/>
      <c r="B58" s="60"/>
      <c r="C58" s="60"/>
      <c r="D58" s="60"/>
      <c r="E58" s="60"/>
      <c r="F58" s="60"/>
      <c r="G58" s="60"/>
      <c r="H58" s="60"/>
      <c r="I58" s="60"/>
      <c r="J58" s="61"/>
      <c r="K58" s="61"/>
      <c r="L58" s="61"/>
      <c r="M58" s="87"/>
      <c r="N58" s="93" t="s">
        <v>4</v>
      </c>
      <c r="O58" s="93" t="s">
        <v>5</v>
      </c>
      <c r="P58" s="93" t="s">
        <v>86</v>
      </c>
      <c r="Q58" s="93" t="s">
        <v>75</v>
      </c>
      <c r="R58" s="107" t="s">
        <v>87</v>
      </c>
    </row>
    <row r="59" spans="1:18" s="63" customFormat="1" ht="13.2" x14ac:dyDescent="0.3">
      <c r="J59" s="83"/>
      <c r="K59" s="83"/>
      <c r="L59" s="83"/>
      <c r="M59" s="138" t="s">
        <v>242</v>
      </c>
      <c r="N59" s="159">
        <f>+N54</f>
        <v>42965.960000000021</v>
      </c>
      <c r="O59" s="159">
        <f>+O54-O61</f>
        <v>0</v>
      </c>
      <c r="P59" s="159">
        <f>+P54</f>
        <v>148578.12000000011</v>
      </c>
      <c r="Q59" s="159">
        <f>+N59+O59+P59</f>
        <v>191544.08000000013</v>
      </c>
      <c r="R59" s="160">
        <f>+R52-R61</f>
        <v>16575.493432259653</v>
      </c>
    </row>
    <row r="60" spans="1:18" s="60" customFormat="1" x14ac:dyDescent="0.3">
      <c r="A60" s="63"/>
      <c r="B60" s="63"/>
      <c r="C60" s="63"/>
      <c r="D60" s="63"/>
      <c r="E60" s="63"/>
      <c r="F60" s="63"/>
      <c r="G60" s="63"/>
      <c r="H60" s="63"/>
      <c r="I60" s="63"/>
      <c r="J60" s="83"/>
      <c r="K60" s="83"/>
      <c r="L60" s="83"/>
      <c r="M60" s="138" t="s">
        <v>243</v>
      </c>
      <c r="N60" s="161">
        <f>SUMIFS(Table_Query_from_MS_Access_Database[[#All],[HSIP]],Table_Query_from_MS_Access_Database[[#All],[Transaction Year]],"2014",Table_Query_from_MS_Access_Database[[#All],[Transaction Type]],"Lapsing")</f>
        <v>-42965.96</v>
      </c>
      <c r="O60" s="161">
        <f>SUMIFS(Table_Query_from_MS_Access_Database[[#All],[SPR]],Table_Query_from_MS_Access_Database[[#All],[Transaction Year]],"2014",Table_Query_from_MS_Access_Database[[#All],[Transaction Type]],"Lapsing")</f>
        <v>0</v>
      </c>
      <c r="P60" s="161">
        <f>SUMIFS(Table_Query_from_MS_Access_Database[[#All],[STP other]],Table_Query_from_MS_Access_Database[[#All],[Transaction Year]],"2014",Table_Query_from_MS_Access_Database[[#All],[Transaction Type]],"Lapsing")</f>
        <v>-148578.12</v>
      </c>
      <c r="Q60" s="161">
        <f>SUM(N60:P60)</f>
        <v>-191544.08</v>
      </c>
      <c r="R60" s="162">
        <f>SUMIFS(Table_Query_from_MS_Access_Database_16[[#All],[Total]],Table_Query_from_MS_Access_Database_16[[#All],[Transaction Year]],"2014",Table_Query_from_MS_Access_Database_16[[#All],[Transaction Type]],"Lapsing")</f>
        <v>-16575.490000000002</v>
      </c>
    </row>
    <row r="61" spans="1:18" x14ac:dyDescent="0.3">
      <c r="A61" s="63"/>
      <c r="B61" s="63"/>
      <c r="C61" s="63"/>
      <c r="D61" s="63"/>
      <c r="E61" s="63"/>
      <c r="F61" s="63"/>
      <c r="G61" s="63"/>
      <c r="H61" s="63"/>
      <c r="I61" s="63"/>
      <c r="J61" s="83"/>
      <c r="K61" s="83"/>
      <c r="L61" s="83"/>
      <c r="M61" s="138" t="s">
        <v>244</v>
      </c>
      <c r="N61" s="163">
        <f>SUM(N59:N60)</f>
        <v>0</v>
      </c>
      <c r="O61" s="163">
        <v>0</v>
      </c>
      <c r="P61" s="163">
        <f>SUM(P59:P60)</f>
        <v>0</v>
      </c>
      <c r="Q61" s="163">
        <f>SUM(N61:P61)</f>
        <v>0</v>
      </c>
      <c r="R61" s="163">
        <f>IF(O61&gt;R52,R52,O61)</f>
        <v>0</v>
      </c>
    </row>
    <row r="62" spans="1:18" x14ac:dyDescent="0.3">
      <c r="A62" s="63"/>
      <c r="B62" s="63"/>
      <c r="C62" s="63"/>
      <c r="D62" s="63"/>
      <c r="E62" s="63"/>
      <c r="F62" s="63"/>
      <c r="G62" s="63"/>
      <c r="H62" s="63"/>
      <c r="I62" s="63"/>
      <c r="J62" s="83"/>
      <c r="K62" s="83"/>
      <c r="L62" s="83"/>
      <c r="M62" s="139" t="s">
        <v>104</v>
      </c>
      <c r="N62" s="164">
        <v>0</v>
      </c>
      <c r="O62" s="164">
        <f>+O54-O59-O61</f>
        <v>0</v>
      </c>
      <c r="P62" s="164">
        <f t="shared" ref="P62" si="1">+P54-P59-P61</f>
        <v>0</v>
      </c>
      <c r="Q62" s="164">
        <f>ROUND(Q54-Q59-Q61,2)</f>
        <v>0</v>
      </c>
      <c r="R62" s="164">
        <v>0</v>
      </c>
    </row>
    <row r="63" spans="1:18" x14ac:dyDescent="0.3">
      <c r="A63" s="60"/>
      <c r="B63" s="60"/>
      <c r="C63" s="60"/>
      <c r="D63" s="60"/>
      <c r="E63" s="60"/>
      <c r="F63" s="60"/>
      <c r="G63" s="60"/>
      <c r="H63" s="60"/>
      <c r="I63" s="60"/>
      <c r="J63" s="61"/>
      <c r="K63" s="61"/>
      <c r="L63" s="61"/>
      <c r="M63" s="61"/>
      <c r="N63" s="62"/>
      <c r="O63" s="62"/>
      <c r="P63" s="62"/>
      <c r="Q63" s="62"/>
      <c r="R63" s="60"/>
    </row>
  </sheetData>
  <sheetProtection autoFilter="0"/>
  <mergeCells count="10">
    <mergeCell ref="N57:Q57"/>
    <mergeCell ref="A1:F1"/>
    <mergeCell ref="A14:D14"/>
    <mergeCell ref="O2:R2"/>
    <mergeCell ref="A9:L9"/>
    <mergeCell ref="N1:S1"/>
    <mergeCell ref="J14:M14"/>
    <mergeCell ref="A50:D50"/>
    <mergeCell ref="A3:C4"/>
    <mergeCell ref="A5:C5"/>
  </mergeCells>
  <pageMargins left="0.5" right="0.25" top="0.75" bottom="0.75" header="0.3" footer="0.3"/>
  <pageSetup paperSize="17" scale="79"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32"/>
  <sheetViews>
    <sheetView zoomScaleNormal="100" workbookViewId="0">
      <selection activeCell="A18" sqref="A18:G18"/>
    </sheetView>
  </sheetViews>
  <sheetFormatPr defaultColWidth="19.6640625" defaultRowHeight="14.4" x14ac:dyDescent="0.3"/>
  <cols>
    <col min="1" max="1" width="18.5546875" style="25" customWidth="1"/>
    <col min="2" max="2" width="19" style="25" customWidth="1"/>
    <col min="3" max="3" width="12.21875" style="25" customWidth="1"/>
    <col min="4" max="4" width="18.44140625" style="25" customWidth="1"/>
    <col min="5" max="5" width="11.77734375" style="25" customWidth="1"/>
    <col min="6" max="6" width="10" style="25" customWidth="1"/>
    <col min="7" max="7" width="13.44140625" style="25" customWidth="1"/>
    <col min="8" max="8" width="10.77734375" style="26" customWidth="1"/>
    <col min="9" max="9" width="6.5546875" style="25" customWidth="1"/>
    <col min="10" max="10" width="7.77734375" style="25" customWidth="1"/>
    <col min="11" max="11" width="12.6640625" style="25" customWidth="1"/>
    <col min="12" max="12" width="16.5546875" style="25" customWidth="1"/>
    <col min="13" max="13" width="11.77734375" style="25" customWidth="1"/>
    <col min="14" max="14" width="15.6640625" style="25" customWidth="1"/>
    <col min="15" max="15" width="8.88671875" style="25" customWidth="1"/>
    <col min="16" max="16" width="9.77734375" style="25" customWidth="1"/>
    <col min="17" max="17" width="11.5546875" style="25" customWidth="1"/>
    <col min="18" max="18" width="56.5546875" style="25" customWidth="1"/>
    <col min="19" max="19" width="10" style="25" customWidth="1"/>
    <col min="20" max="20" width="7" style="25" customWidth="1"/>
    <col min="21" max="21" width="13.109375" style="25" customWidth="1"/>
    <col min="22" max="22" width="60.109375" style="25" customWidth="1"/>
    <col min="23" max="23" width="13" style="25" customWidth="1"/>
    <col min="24" max="24" width="16.88671875" style="25" customWidth="1"/>
    <col min="25" max="25" width="12.109375" style="25" customWidth="1"/>
    <col min="26" max="26" width="16" style="25" customWidth="1"/>
    <col min="27" max="16384" width="19.6640625" style="9"/>
  </cols>
  <sheetData>
    <row r="1" spans="1:26" ht="18.600000000000001" x14ac:dyDescent="0.35">
      <c r="A1" s="197" t="str">
        <f>+'Federal Funds Transactions'!A1:F1</f>
        <v>Central Arizona Goverments</v>
      </c>
      <c r="B1" s="197"/>
      <c r="C1" s="197"/>
      <c r="D1" s="197"/>
      <c r="E1" s="197"/>
      <c r="F1" s="197"/>
    </row>
    <row r="2" spans="1:26" x14ac:dyDescent="0.35">
      <c r="A2" s="27"/>
      <c r="B2" s="27"/>
      <c r="C2" s="27"/>
      <c r="D2" s="27"/>
      <c r="E2" s="27"/>
      <c r="F2" s="27"/>
    </row>
    <row r="3" spans="1:26" x14ac:dyDescent="0.35">
      <c r="A3" s="198" t="s">
        <v>108</v>
      </c>
      <c r="B3" s="198"/>
      <c r="C3" s="198"/>
      <c r="D3" s="198"/>
      <c r="E3" s="198"/>
      <c r="F3" s="198"/>
    </row>
    <row r="4" spans="1:26" x14ac:dyDescent="0.3">
      <c r="A4" s="28"/>
      <c r="B4" s="28"/>
      <c r="C4" s="28"/>
      <c r="D4" s="28"/>
      <c r="E4" s="28"/>
      <c r="F4" s="28"/>
    </row>
    <row r="5" spans="1:26" x14ac:dyDescent="0.3">
      <c r="A5" s="25" t="s">
        <v>107</v>
      </c>
      <c r="B5" s="143">
        <f>+'Federal Funds Transactions'!C5</f>
        <v>0</v>
      </c>
      <c r="C5" s="27"/>
      <c r="D5" s="27"/>
      <c r="E5" s="27"/>
      <c r="F5" s="27"/>
    </row>
    <row r="6" spans="1:26" x14ac:dyDescent="0.3">
      <c r="A6" s="27"/>
      <c r="B6" s="27"/>
      <c r="C6" s="27"/>
      <c r="D6" s="27"/>
      <c r="E6" s="27"/>
      <c r="F6" s="27"/>
    </row>
    <row r="7" spans="1:26" ht="15" customHeight="1" x14ac:dyDescent="0.35">
      <c r="A7" s="201" t="str">
        <f>+'Federal Funds Transactions'!A9:L9</f>
        <v>IMPORTANT! Please review the information in the Notes tab for further explanation of the data in this document.</v>
      </c>
      <c r="B7" s="201"/>
      <c r="C7" s="201"/>
      <c r="D7" s="201"/>
      <c r="E7" s="201"/>
      <c r="F7" s="201"/>
      <c r="G7" s="201"/>
      <c r="H7" s="201"/>
    </row>
    <row r="9" spans="1:26" ht="15.75" customHeight="1" x14ac:dyDescent="0.3">
      <c r="A9" s="199" t="s">
        <v>236</v>
      </c>
      <c r="B9" s="199"/>
      <c r="C9" s="199"/>
      <c r="D9" s="199"/>
      <c r="E9" s="199"/>
      <c r="F9" s="199"/>
      <c r="G9" s="199"/>
      <c r="M9" s="29"/>
      <c r="N9" s="29"/>
      <c r="O9" s="29"/>
      <c r="P9" s="29"/>
      <c r="Q9" s="29"/>
      <c r="R9" s="29"/>
      <c r="S9" s="29"/>
      <c r="T9" s="29"/>
      <c r="U9" s="29"/>
      <c r="V9" s="29"/>
      <c r="W9" s="29"/>
      <c r="X9" s="29"/>
    </row>
    <row r="10" spans="1:26" ht="15.6" x14ac:dyDescent="0.35">
      <c r="A10" s="30"/>
      <c r="B10" s="30"/>
      <c r="C10" s="30"/>
      <c r="D10" s="30"/>
      <c r="E10" s="31"/>
      <c r="F10" s="31"/>
      <c r="G10" s="31"/>
      <c r="H10" s="32"/>
      <c r="I10" s="31"/>
      <c r="J10" s="31"/>
      <c r="K10" s="31"/>
      <c r="L10" s="31"/>
      <c r="M10" s="29"/>
      <c r="N10" s="29"/>
      <c r="O10" s="29"/>
      <c r="P10" s="29"/>
      <c r="Q10" s="29"/>
      <c r="R10" s="29"/>
      <c r="S10" s="29"/>
      <c r="T10" s="29"/>
      <c r="U10" s="29"/>
      <c r="V10" s="29"/>
      <c r="W10" s="29"/>
      <c r="X10" s="29"/>
      <c r="Y10" s="31"/>
      <c r="Z10" s="31"/>
    </row>
    <row r="11" spans="1:26" x14ac:dyDescent="0.3">
      <c r="A11" s="142" t="s">
        <v>50</v>
      </c>
      <c r="B11" s="140" t="s">
        <v>51</v>
      </c>
      <c r="C11" s="140" t="s">
        <v>13</v>
      </c>
      <c r="D11" s="140" t="s">
        <v>52</v>
      </c>
      <c r="E11" s="140" t="s">
        <v>10</v>
      </c>
      <c r="F11" s="140" t="s">
        <v>44</v>
      </c>
      <c r="G11" s="140" t="s">
        <v>45</v>
      </c>
      <c r="H11" s="140" t="s">
        <v>4</v>
      </c>
      <c r="I11" s="140" t="s">
        <v>46</v>
      </c>
      <c r="J11" s="140" t="s">
        <v>5</v>
      </c>
      <c r="K11" s="140" t="s">
        <v>6</v>
      </c>
      <c r="L11" s="140" t="s">
        <v>47</v>
      </c>
      <c r="M11" s="140" t="s">
        <v>48</v>
      </c>
      <c r="N11" s="140" t="s">
        <v>49</v>
      </c>
      <c r="O11" s="140" t="s">
        <v>155</v>
      </c>
      <c r="P11" s="140" t="s">
        <v>224</v>
      </c>
      <c r="Q11" s="140" t="s">
        <v>225</v>
      </c>
      <c r="R11" s="141" t="s">
        <v>226</v>
      </c>
      <c r="S11" s="31"/>
      <c r="T11" s="31"/>
      <c r="U11" s="31"/>
      <c r="V11" s="31"/>
      <c r="W11" s="9"/>
      <c r="X11" s="9"/>
      <c r="Y11" s="9"/>
      <c r="Z11" s="9"/>
    </row>
    <row r="12" spans="1:26" x14ac:dyDescent="0.3">
      <c r="A12" s="142" t="s">
        <v>36</v>
      </c>
      <c r="B12" s="140" t="s">
        <v>54</v>
      </c>
      <c r="C12" s="140" t="s">
        <v>57</v>
      </c>
      <c r="D12" s="140" t="s">
        <v>58</v>
      </c>
      <c r="E12" s="140">
        <v>-565445</v>
      </c>
      <c r="F12" s="140"/>
      <c r="G12" s="140"/>
      <c r="H12" s="140"/>
      <c r="I12" s="140"/>
      <c r="J12" s="140"/>
      <c r="K12" s="140">
        <v>-565445</v>
      </c>
      <c r="L12" s="140"/>
      <c r="M12" s="140"/>
      <c r="N12" s="141"/>
      <c r="O12" s="95" t="s">
        <v>55</v>
      </c>
      <c r="P12" s="97" t="s">
        <v>53</v>
      </c>
      <c r="Q12" s="97"/>
      <c r="R12" s="98" t="s">
        <v>59</v>
      </c>
      <c r="S12" s="119"/>
      <c r="T12" s="119"/>
      <c r="U12" s="119"/>
      <c r="V12" s="119"/>
      <c r="W12" s="9"/>
      <c r="X12" s="9"/>
      <c r="Y12" s="9"/>
      <c r="Z12" s="9"/>
    </row>
    <row r="13" spans="1:26" x14ac:dyDescent="0.3">
      <c r="A13" s="103" t="s">
        <v>187</v>
      </c>
      <c r="B13" s="104" t="s">
        <v>232</v>
      </c>
      <c r="C13" s="104" t="s">
        <v>233</v>
      </c>
      <c r="D13" s="104" t="s">
        <v>58</v>
      </c>
      <c r="E13" s="104">
        <v>-191544.08</v>
      </c>
      <c r="F13" s="104"/>
      <c r="G13" s="104"/>
      <c r="H13" s="104">
        <v>-42965.96</v>
      </c>
      <c r="I13" s="104"/>
      <c r="J13" s="104"/>
      <c r="K13" s="104">
        <v>-148578.12</v>
      </c>
      <c r="L13" s="104"/>
      <c r="M13" s="104"/>
      <c r="N13" s="105"/>
      <c r="O13" s="104" t="s">
        <v>55</v>
      </c>
      <c r="P13" s="104" t="s">
        <v>167</v>
      </c>
      <c r="Q13" s="104"/>
      <c r="R13" s="105" t="s">
        <v>234</v>
      </c>
      <c r="S13" s="119"/>
      <c r="T13" s="119"/>
      <c r="U13" s="119"/>
      <c r="V13" s="119"/>
      <c r="W13" s="9"/>
      <c r="X13" s="9"/>
      <c r="Y13" s="9"/>
      <c r="Z13" s="9"/>
    </row>
    <row r="14" spans="1:26" x14ac:dyDescent="0.3">
      <c r="A14" s="155" t="s">
        <v>187</v>
      </c>
      <c r="B14" s="156" t="s">
        <v>248</v>
      </c>
      <c r="C14" s="156" t="s">
        <v>249</v>
      </c>
      <c r="D14" s="156" t="s">
        <v>250</v>
      </c>
      <c r="E14" s="156">
        <v>-75440</v>
      </c>
      <c r="F14" s="156"/>
      <c r="G14" s="156"/>
      <c r="H14" s="156"/>
      <c r="I14" s="156"/>
      <c r="J14" s="156"/>
      <c r="K14" s="156">
        <v>-75440</v>
      </c>
      <c r="L14" s="156"/>
      <c r="M14" s="156"/>
      <c r="N14" s="157"/>
      <c r="O14" s="158" t="s">
        <v>55</v>
      </c>
      <c r="P14" s="156" t="s">
        <v>167</v>
      </c>
      <c r="Q14" s="156" t="s">
        <v>251</v>
      </c>
      <c r="R14" s="157" t="s">
        <v>252</v>
      </c>
      <c r="S14" s="119"/>
      <c r="T14" s="119"/>
      <c r="U14" s="119"/>
      <c r="V14" s="119"/>
      <c r="W14" s="9"/>
      <c r="X14" s="9"/>
      <c r="Y14" s="9"/>
      <c r="Z14" s="9"/>
    </row>
    <row r="15" spans="1:26" x14ac:dyDescent="0.3">
      <c r="A15" s="155" t="s">
        <v>187</v>
      </c>
      <c r="B15" s="156" t="s">
        <v>54</v>
      </c>
      <c r="C15" s="156" t="s">
        <v>188</v>
      </c>
      <c r="D15" s="156" t="s">
        <v>58</v>
      </c>
      <c r="E15" s="156">
        <v>-158061</v>
      </c>
      <c r="F15" s="156"/>
      <c r="G15" s="156"/>
      <c r="H15" s="156"/>
      <c r="I15" s="156"/>
      <c r="J15" s="156"/>
      <c r="K15" s="156">
        <v>-158061</v>
      </c>
      <c r="L15" s="156"/>
      <c r="M15" s="156"/>
      <c r="N15" s="157"/>
      <c r="O15" s="158" t="s">
        <v>55</v>
      </c>
      <c r="P15" s="156" t="s">
        <v>189</v>
      </c>
      <c r="Q15" s="156" t="s">
        <v>190</v>
      </c>
      <c r="R15" s="157" t="s">
        <v>191</v>
      </c>
      <c r="S15" s="119"/>
      <c r="T15" s="119"/>
      <c r="U15" s="119"/>
      <c r="V15" s="119"/>
      <c r="W15" s="9"/>
      <c r="X15" s="9"/>
      <c r="Y15" s="9"/>
      <c r="Z15" s="9"/>
    </row>
    <row r="16" spans="1:26" x14ac:dyDescent="0.3">
      <c r="A16" s="155" t="s">
        <v>250</v>
      </c>
      <c r="B16" s="156" t="s">
        <v>253</v>
      </c>
      <c r="C16" s="156" t="s">
        <v>249</v>
      </c>
      <c r="D16" s="156"/>
      <c r="E16" s="156">
        <v>75440</v>
      </c>
      <c r="F16" s="156"/>
      <c r="G16" s="156"/>
      <c r="H16" s="156"/>
      <c r="I16" s="156"/>
      <c r="J16" s="156"/>
      <c r="K16" s="156">
        <v>75440</v>
      </c>
      <c r="L16" s="156"/>
      <c r="M16" s="156"/>
      <c r="N16" s="157"/>
      <c r="O16" s="156" t="s">
        <v>167</v>
      </c>
      <c r="P16" s="156" t="s">
        <v>55</v>
      </c>
      <c r="Q16" s="156" t="s">
        <v>251</v>
      </c>
      <c r="R16" s="157" t="s">
        <v>252</v>
      </c>
      <c r="S16" s="119"/>
      <c r="T16" s="119"/>
      <c r="U16" s="119"/>
      <c r="V16" s="119"/>
      <c r="W16" s="9"/>
      <c r="X16" s="9"/>
      <c r="Y16" s="9"/>
      <c r="Z16" s="9"/>
    </row>
    <row r="17" spans="1:26" x14ac:dyDescent="0.3">
      <c r="S17" s="119"/>
      <c r="T17" s="119"/>
      <c r="U17" s="119"/>
      <c r="V17" s="119"/>
      <c r="W17" s="9"/>
      <c r="X17" s="9"/>
      <c r="Y17" s="9"/>
      <c r="Z17" s="9"/>
    </row>
    <row r="18" spans="1:26" x14ac:dyDescent="0.3">
      <c r="S18" s="119"/>
      <c r="T18" s="119"/>
      <c r="U18" s="119"/>
      <c r="V18" s="119"/>
      <c r="W18" s="9"/>
      <c r="X18" s="9"/>
      <c r="Y18" s="9"/>
      <c r="Z18" s="9"/>
    </row>
    <row r="21" spans="1:26" ht="15.6" x14ac:dyDescent="0.3">
      <c r="A21" s="200" t="s">
        <v>237</v>
      </c>
      <c r="B21" s="200"/>
      <c r="C21" s="200"/>
      <c r="D21" s="200"/>
      <c r="E21" s="200"/>
      <c r="F21" s="200"/>
      <c r="G21" s="200"/>
    </row>
    <row r="23" spans="1:26" x14ac:dyDescent="0.3">
      <c r="A23" s="96" t="s">
        <v>50</v>
      </c>
      <c r="B23" s="97" t="s">
        <v>51</v>
      </c>
      <c r="C23" s="97" t="s">
        <v>13</v>
      </c>
      <c r="D23" s="97" t="s">
        <v>52</v>
      </c>
      <c r="E23" s="97" t="s">
        <v>10</v>
      </c>
      <c r="F23" s="97" t="s">
        <v>44</v>
      </c>
      <c r="G23" s="97" t="s">
        <v>45</v>
      </c>
      <c r="H23" s="97" t="s">
        <v>4</v>
      </c>
      <c r="I23" s="97" t="s">
        <v>46</v>
      </c>
      <c r="J23" s="97" t="s">
        <v>5</v>
      </c>
      <c r="K23" s="97" t="s">
        <v>6</v>
      </c>
      <c r="L23" s="97" t="s">
        <v>47</v>
      </c>
      <c r="M23" s="97" t="s">
        <v>48</v>
      </c>
      <c r="N23" s="98" t="s">
        <v>49</v>
      </c>
      <c r="O23" s="98" t="s">
        <v>155</v>
      </c>
      <c r="P23" s="98" t="s">
        <v>156</v>
      </c>
      <c r="Q23" s="98" t="s">
        <v>157</v>
      </c>
      <c r="R23" s="98" t="s">
        <v>158</v>
      </c>
    </row>
    <row r="24" spans="1:26" x14ac:dyDescent="0.3">
      <c r="A24" s="99" t="s">
        <v>36</v>
      </c>
      <c r="B24" s="94" t="s">
        <v>54</v>
      </c>
      <c r="C24" s="94" t="s">
        <v>57</v>
      </c>
      <c r="D24" s="94" t="s">
        <v>58</v>
      </c>
      <c r="E24" s="94">
        <v>-540000</v>
      </c>
      <c r="F24" s="94"/>
      <c r="G24" s="94"/>
      <c r="H24" s="94"/>
      <c r="I24" s="94"/>
      <c r="J24" s="94"/>
      <c r="K24" s="94">
        <v>-540000</v>
      </c>
      <c r="L24" s="94"/>
      <c r="M24" s="94"/>
      <c r="N24" s="100"/>
      <c r="O24" s="97" t="s">
        <v>55</v>
      </c>
      <c r="P24" s="97" t="s">
        <v>53</v>
      </c>
      <c r="Q24" s="97"/>
      <c r="R24" s="97" t="s">
        <v>59</v>
      </c>
    </row>
    <row r="25" spans="1:26" x14ac:dyDescent="0.3">
      <c r="A25" s="101" t="s">
        <v>187</v>
      </c>
      <c r="B25" s="95" t="s">
        <v>232</v>
      </c>
      <c r="C25" s="95" t="s">
        <v>233</v>
      </c>
      <c r="D25" s="95" t="s">
        <v>58</v>
      </c>
      <c r="E25" s="95">
        <v>-16575.490000000002</v>
      </c>
      <c r="F25" s="95"/>
      <c r="G25" s="95"/>
      <c r="H25" s="95">
        <v>0</v>
      </c>
      <c r="I25" s="95"/>
      <c r="J25" s="95"/>
      <c r="K25" s="95">
        <v>0</v>
      </c>
      <c r="L25" s="95"/>
      <c r="M25" s="95"/>
      <c r="N25" s="102"/>
      <c r="O25" s="95" t="s">
        <v>55</v>
      </c>
      <c r="P25" s="95" t="s">
        <v>167</v>
      </c>
      <c r="Q25" s="95"/>
      <c r="R25" s="95" t="s">
        <v>234</v>
      </c>
      <c r="S25" s="9"/>
      <c r="T25" s="9"/>
      <c r="U25" s="9"/>
      <c r="V25" s="9"/>
      <c r="W25" s="9"/>
      <c r="X25" s="9"/>
      <c r="Y25" s="9"/>
      <c r="Z25" s="9"/>
    </row>
    <row r="26" spans="1:26" x14ac:dyDescent="0.3">
      <c r="A26" s="151" t="s">
        <v>187</v>
      </c>
      <c r="B26" s="152" t="s">
        <v>248</v>
      </c>
      <c r="C26" s="152" t="s">
        <v>249</v>
      </c>
      <c r="D26" s="152" t="s">
        <v>250</v>
      </c>
      <c r="E26" s="152">
        <v>-75440</v>
      </c>
      <c r="F26" s="152"/>
      <c r="G26" s="152"/>
      <c r="H26" s="152"/>
      <c r="I26" s="152"/>
      <c r="J26" s="152"/>
      <c r="K26" s="152">
        <v>-75440</v>
      </c>
      <c r="L26" s="152"/>
      <c r="M26" s="152"/>
      <c r="N26" s="153"/>
      <c r="O26" s="154" t="s">
        <v>55</v>
      </c>
      <c r="P26" s="154" t="s">
        <v>167</v>
      </c>
      <c r="Q26" s="154" t="s">
        <v>251</v>
      </c>
      <c r="R26" s="154" t="s">
        <v>252</v>
      </c>
      <c r="S26" s="9"/>
      <c r="T26" s="9"/>
      <c r="U26" s="9"/>
      <c r="V26" s="9"/>
      <c r="W26" s="9"/>
      <c r="X26" s="9"/>
      <c r="Y26" s="9"/>
      <c r="Z26" s="9"/>
    </row>
    <row r="27" spans="1:26" x14ac:dyDescent="0.3">
      <c r="A27" s="99" t="s">
        <v>187</v>
      </c>
      <c r="B27" s="94" t="s">
        <v>54</v>
      </c>
      <c r="C27" s="94" t="s">
        <v>188</v>
      </c>
      <c r="D27" s="94" t="s">
        <v>58</v>
      </c>
      <c r="E27" s="94">
        <v>-150000</v>
      </c>
      <c r="F27" s="94"/>
      <c r="G27" s="94"/>
      <c r="H27" s="94"/>
      <c r="I27" s="94"/>
      <c r="J27" s="94"/>
      <c r="K27" s="94">
        <v>-150000</v>
      </c>
      <c r="L27" s="94"/>
      <c r="M27" s="94"/>
      <c r="N27" s="100"/>
      <c r="O27" s="156" t="s">
        <v>55</v>
      </c>
      <c r="P27" s="156" t="s">
        <v>189</v>
      </c>
      <c r="Q27" s="156" t="s">
        <v>190</v>
      </c>
      <c r="R27" s="156" t="s">
        <v>191</v>
      </c>
      <c r="S27" s="9"/>
      <c r="T27" s="9"/>
      <c r="U27" s="9"/>
      <c r="V27" s="9"/>
      <c r="W27" s="9"/>
      <c r="X27" s="9"/>
      <c r="Y27" s="9"/>
      <c r="Z27" s="9"/>
    </row>
    <row r="28" spans="1:26" x14ac:dyDescent="0.3">
      <c r="A28" s="184" t="s">
        <v>250</v>
      </c>
      <c r="B28" s="158" t="s">
        <v>253</v>
      </c>
      <c r="C28" s="158" t="s">
        <v>249</v>
      </c>
      <c r="D28" s="158"/>
      <c r="E28" s="158">
        <v>75440</v>
      </c>
      <c r="F28" s="158"/>
      <c r="G28" s="158"/>
      <c r="H28" s="158"/>
      <c r="I28" s="158"/>
      <c r="J28" s="158"/>
      <c r="K28" s="158">
        <v>75440</v>
      </c>
      <c r="L28" s="158"/>
      <c r="M28" s="158"/>
      <c r="N28" s="185"/>
      <c r="O28" s="156" t="s">
        <v>167</v>
      </c>
      <c r="P28" s="156" t="s">
        <v>55</v>
      </c>
      <c r="Q28" s="156" t="s">
        <v>251</v>
      </c>
      <c r="R28" s="156" t="s">
        <v>252</v>
      </c>
      <c r="S28" s="9"/>
      <c r="T28" s="9"/>
      <c r="U28" s="9"/>
      <c r="V28" s="9"/>
      <c r="W28" s="9"/>
      <c r="X28" s="9"/>
      <c r="Y28" s="9"/>
      <c r="Z28" s="9"/>
    </row>
    <row r="29" spans="1:26" x14ac:dyDescent="0.3">
      <c r="S29" s="9"/>
      <c r="T29" s="9"/>
      <c r="U29" s="9"/>
      <c r="V29" s="9"/>
      <c r="W29" s="9"/>
      <c r="X29" s="9"/>
      <c r="Y29" s="9"/>
      <c r="Z29" s="9"/>
    </row>
    <row r="30" spans="1:26" x14ac:dyDescent="0.3">
      <c r="S30" s="9"/>
      <c r="T30" s="9"/>
      <c r="U30" s="9"/>
      <c r="V30" s="9"/>
      <c r="W30" s="9"/>
      <c r="X30" s="9"/>
      <c r="Y30" s="9"/>
      <c r="Z30" s="9"/>
    </row>
    <row r="31" spans="1:26" x14ac:dyDescent="0.3">
      <c r="S31" s="9"/>
      <c r="T31" s="9"/>
      <c r="U31" s="9"/>
      <c r="V31" s="9"/>
      <c r="W31" s="9"/>
      <c r="X31" s="9"/>
      <c r="Y31" s="9"/>
      <c r="Z31" s="9"/>
    </row>
    <row r="32" spans="1:26" x14ac:dyDescent="0.3">
      <c r="S32" s="9"/>
      <c r="T32" s="9"/>
      <c r="U32" s="9"/>
      <c r="V32" s="9"/>
      <c r="W32" s="9"/>
      <c r="X32" s="9"/>
      <c r="Y32" s="9"/>
      <c r="Z32" s="9"/>
    </row>
  </sheetData>
  <mergeCells count="5">
    <mergeCell ref="A1:F1"/>
    <mergeCell ref="A3:F3"/>
    <mergeCell ref="A9:G9"/>
    <mergeCell ref="A21:G21"/>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6"/>
  <sheetViews>
    <sheetView topLeftCell="A23" zoomScaleNormal="100" workbookViewId="0">
      <selection activeCell="C20" sqref="C20"/>
    </sheetView>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209" t="s">
        <v>14</v>
      </c>
      <c r="C1" s="209"/>
      <c r="D1" s="209"/>
      <c r="E1" s="209"/>
    </row>
    <row r="2" spans="1:5" ht="81.75" customHeight="1" x14ac:dyDescent="0.35">
      <c r="A2" s="1">
        <v>1</v>
      </c>
      <c r="B2" s="202" t="s">
        <v>16</v>
      </c>
      <c r="C2" s="202"/>
      <c r="D2" s="202"/>
      <c r="E2" s="202"/>
    </row>
    <row r="3" spans="1:5" x14ac:dyDescent="0.35">
      <c r="B3" s="3"/>
      <c r="C3" s="3"/>
      <c r="D3" s="3"/>
      <c r="E3" s="3"/>
    </row>
    <row r="4" spans="1:5" ht="31.2" customHeight="1" x14ac:dyDescent="0.35">
      <c r="A4" s="1">
        <v>2</v>
      </c>
      <c r="B4" s="202" t="s">
        <v>17</v>
      </c>
      <c r="C4" s="202"/>
      <c r="D4" s="202"/>
      <c r="E4" s="202"/>
    </row>
    <row r="5" spans="1:5" x14ac:dyDescent="0.35">
      <c r="B5" s="3"/>
      <c r="C5" s="3"/>
      <c r="D5" s="3"/>
      <c r="E5" s="3"/>
    </row>
    <row r="6" spans="1:5" s="17" customFormat="1" ht="114" customHeight="1" x14ac:dyDescent="0.35">
      <c r="A6" s="18">
        <v>3</v>
      </c>
      <c r="B6" s="203" t="s">
        <v>90</v>
      </c>
      <c r="C6" s="203"/>
      <c r="D6" s="203"/>
      <c r="E6" s="203"/>
    </row>
    <row r="7" spans="1:5" s="17" customFormat="1" x14ac:dyDescent="0.3">
      <c r="A7" s="18"/>
      <c r="B7" s="19"/>
      <c r="C7" s="19"/>
      <c r="D7" s="19"/>
      <c r="E7" s="19"/>
    </row>
    <row r="8" spans="1:5" ht="18" customHeight="1" x14ac:dyDescent="0.3">
      <c r="A8" s="1">
        <v>4</v>
      </c>
      <c r="B8" s="206" t="s">
        <v>80</v>
      </c>
      <c r="C8" s="206"/>
      <c r="D8" s="8"/>
      <c r="E8" s="8"/>
    </row>
    <row r="9" spans="1:5" ht="18" customHeight="1" x14ac:dyDescent="0.3">
      <c r="B9" s="211" t="s">
        <v>81</v>
      </c>
      <c r="C9" s="211"/>
      <c r="D9" s="13">
        <v>125000</v>
      </c>
    </row>
    <row r="10" spans="1:5" ht="18" customHeight="1" x14ac:dyDescent="0.3">
      <c r="B10" s="202" t="s">
        <v>83</v>
      </c>
      <c r="C10" s="202"/>
      <c r="D10" s="12">
        <v>0</v>
      </c>
    </row>
    <row r="11" spans="1:5" ht="18" customHeight="1" x14ac:dyDescent="0.3">
      <c r="B11" s="211" t="s">
        <v>79</v>
      </c>
      <c r="C11" s="211"/>
      <c r="D11" s="14">
        <f>+D9+D10</f>
        <v>125000</v>
      </c>
    </row>
    <row r="12" spans="1:5" ht="31.5" customHeight="1" x14ac:dyDescent="0.3">
      <c r="B12" s="202" t="s">
        <v>105</v>
      </c>
      <c r="C12" s="202"/>
      <c r="D12" s="11">
        <v>31250</v>
      </c>
    </row>
    <row r="13" spans="1:5" ht="36.75" customHeight="1" x14ac:dyDescent="0.3">
      <c r="B13" s="211" t="s">
        <v>84</v>
      </c>
      <c r="C13" s="211"/>
      <c r="D13" s="15">
        <f>SUM(D11:D12)</f>
        <v>156250</v>
      </c>
    </row>
    <row r="14" spans="1:5" s="17" customFormat="1" ht="18" customHeight="1" x14ac:dyDescent="0.3">
      <c r="A14" s="18"/>
      <c r="B14" s="22"/>
      <c r="C14" s="22"/>
      <c r="D14" s="23"/>
    </row>
    <row r="15" spans="1:5" s="17" customFormat="1" ht="84.75" customHeight="1" x14ac:dyDescent="0.3">
      <c r="A15" s="1">
        <v>5</v>
      </c>
      <c r="B15" s="210" t="s">
        <v>82</v>
      </c>
      <c r="C15" s="210"/>
      <c r="D15" s="210"/>
      <c r="E15" s="210"/>
    </row>
    <row r="16" spans="1:5" x14ac:dyDescent="0.3">
      <c r="B16" s="3"/>
      <c r="C16" s="3"/>
      <c r="D16" s="3"/>
      <c r="E16" s="3"/>
    </row>
    <row r="17" spans="1:5" ht="33" customHeight="1" x14ac:dyDescent="0.3">
      <c r="A17" s="1">
        <v>6</v>
      </c>
      <c r="B17" s="202" t="s">
        <v>160</v>
      </c>
      <c r="C17" s="202"/>
      <c r="D17" s="202"/>
      <c r="E17" s="202"/>
    </row>
    <row r="18" spans="1:5" x14ac:dyDescent="0.3">
      <c r="B18" s="10"/>
      <c r="C18" s="10"/>
      <c r="D18" s="10"/>
      <c r="E18" s="10"/>
    </row>
    <row r="19" spans="1:5" ht="31.2" customHeight="1" x14ac:dyDescent="0.3">
      <c r="A19" s="1">
        <v>7</v>
      </c>
      <c r="B19" s="202" t="s">
        <v>39</v>
      </c>
      <c r="C19" s="202"/>
      <c r="D19" s="202"/>
      <c r="E19" s="202"/>
    </row>
    <row r="20" spans="1:5" ht="14.25" customHeight="1" x14ac:dyDescent="0.3">
      <c r="B20" s="7"/>
      <c r="C20" s="7"/>
      <c r="D20" s="7"/>
      <c r="E20" s="7"/>
    </row>
    <row r="21" spans="1:5" ht="46.8" customHeight="1" x14ac:dyDescent="0.3">
      <c r="A21" s="1">
        <v>8</v>
      </c>
      <c r="B21" s="202" t="s">
        <v>40</v>
      </c>
      <c r="C21" s="202"/>
      <c r="D21" s="202"/>
      <c r="E21" s="202"/>
    </row>
    <row r="22" spans="1:5" ht="15" customHeight="1" x14ac:dyDescent="0.3">
      <c r="B22" s="7"/>
      <c r="C22" s="7"/>
      <c r="D22" s="7"/>
      <c r="E22" s="7"/>
    </row>
    <row r="23" spans="1:5" ht="31.2" customHeight="1" x14ac:dyDescent="0.3">
      <c r="A23" s="1">
        <v>9</v>
      </c>
      <c r="B23" s="202" t="s">
        <v>38</v>
      </c>
      <c r="C23" s="202"/>
      <c r="D23" s="202"/>
      <c r="E23" s="202"/>
    </row>
    <row r="24" spans="1:5" ht="15" customHeight="1" x14ac:dyDescent="0.3">
      <c r="B24" s="7"/>
      <c r="C24" s="7"/>
      <c r="D24" s="7"/>
      <c r="E24" s="7"/>
    </row>
    <row r="25" spans="1:5" ht="31.2" customHeight="1" x14ac:dyDescent="0.3">
      <c r="A25" s="1">
        <v>10</v>
      </c>
      <c r="B25" s="202" t="s">
        <v>41</v>
      </c>
      <c r="C25" s="202"/>
      <c r="D25" s="202"/>
      <c r="E25" s="202"/>
    </row>
    <row r="26" spans="1:5" x14ac:dyDescent="0.3">
      <c r="B26" s="3"/>
      <c r="C26" s="3"/>
      <c r="D26" s="3"/>
      <c r="E26" s="3"/>
    </row>
    <row r="27" spans="1:5" ht="31.2" customHeight="1" x14ac:dyDescent="0.3">
      <c r="A27" s="1">
        <v>11</v>
      </c>
      <c r="B27" s="202" t="s">
        <v>42</v>
      </c>
      <c r="C27" s="202"/>
      <c r="D27" s="202"/>
      <c r="E27" s="202"/>
    </row>
    <row r="28" spans="1:5" x14ac:dyDescent="0.3">
      <c r="B28" s="3"/>
      <c r="C28" s="3"/>
      <c r="D28" s="3"/>
      <c r="E28" s="3"/>
    </row>
    <row r="29" spans="1:5" ht="31.2" customHeight="1" x14ac:dyDescent="0.3">
      <c r="A29" s="1">
        <v>12</v>
      </c>
      <c r="B29" s="202" t="s">
        <v>43</v>
      </c>
      <c r="C29" s="202"/>
      <c r="D29" s="202"/>
      <c r="E29" s="202"/>
    </row>
    <row r="30" spans="1:5" x14ac:dyDescent="0.3">
      <c r="B30" s="7"/>
      <c r="C30" s="7"/>
      <c r="D30" s="7"/>
      <c r="E30" s="7"/>
    </row>
    <row r="31" spans="1:5" s="17" customFormat="1" ht="31.2" customHeight="1" x14ac:dyDescent="0.3">
      <c r="A31" s="18">
        <v>13</v>
      </c>
      <c r="B31" s="202" t="s">
        <v>235</v>
      </c>
      <c r="C31" s="202"/>
      <c r="D31" s="202"/>
      <c r="E31" s="202"/>
    </row>
    <row r="32" spans="1:5" s="17" customFormat="1" x14ac:dyDescent="0.3">
      <c r="A32" s="18"/>
      <c r="B32" s="144"/>
      <c r="C32" s="144"/>
      <c r="D32" s="144"/>
      <c r="E32" s="144"/>
    </row>
    <row r="33" spans="1:5" ht="31.2" customHeight="1" x14ac:dyDescent="0.3">
      <c r="A33" s="1">
        <v>14</v>
      </c>
      <c r="B33" s="202" t="s">
        <v>18</v>
      </c>
      <c r="C33" s="202"/>
      <c r="D33" s="202"/>
      <c r="E33" s="202"/>
    </row>
    <row r="34" spans="1:5" x14ac:dyDescent="0.3">
      <c r="B34" s="3"/>
      <c r="C34" s="3"/>
      <c r="D34" s="3"/>
      <c r="E34" s="3"/>
    </row>
    <row r="35" spans="1:5" ht="46.8" customHeight="1" x14ac:dyDescent="0.3">
      <c r="A35" s="1">
        <v>15</v>
      </c>
      <c r="B35" s="202" t="s">
        <v>19</v>
      </c>
      <c r="C35" s="202"/>
      <c r="D35" s="202"/>
      <c r="E35" s="202"/>
    </row>
    <row r="36" spans="1:5" ht="14.25" customHeight="1" x14ac:dyDescent="0.3">
      <c r="B36" s="3"/>
      <c r="C36" s="3"/>
      <c r="D36" s="3"/>
      <c r="E36" s="3"/>
    </row>
    <row r="37" spans="1:5" x14ac:dyDescent="0.3">
      <c r="A37" s="1">
        <v>16</v>
      </c>
      <c r="B37" s="206" t="s">
        <v>34</v>
      </c>
      <c r="C37" s="206"/>
      <c r="D37" s="206"/>
      <c r="E37" s="206"/>
    </row>
    <row r="38" spans="1:5" x14ac:dyDescent="0.3">
      <c r="B38" s="16" t="s">
        <v>7</v>
      </c>
      <c r="C38" s="207" t="s">
        <v>20</v>
      </c>
      <c r="D38" s="207"/>
      <c r="E38" s="207"/>
    </row>
    <row r="39" spans="1:5" x14ac:dyDescent="0.3">
      <c r="B39" s="5" t="s">
        <v>21</v>
      </c>
      <c r="C39" s="208" t="s">
        <v>28</v>
      </c>
      <c r="D39" s="208"/>
      <c r="E39" s="208"/>
    </row>
    <row r="40" spans="1:5" x14ac:dyDescent="0.3">
      <c r="B40" s="16" t="s">
        <v>22</v>
      </c>
      <c r="C40" s="207" t="s">
        <v>29</v>
      </c>
      <c r="D40" s="207"/>
      <c r="E40" s="207"/>
    </row>
    <row r="41" spans="1:5" x14ac:dyDescent="0.3">
      <c r="B41" s="5" t="s">
        <v>23</v>
      </c>
      <c r="C41" s="208" t="s">
        <v>32</v>
      </c>
      <c r="D41" s="208"/>
      <c r="E41" s="208"/>
    </row>
    <row r="42" spans="1:5" x14ac:dyDescent="0.3">
      <c r="B42" s="16" t="s">
        <v>9</v>
      </c>
      <c r="C42" s="207" t="s">
        <v>30</v>
      </c>
      <c r="D42" s="207"/>
      <c r="E42" s="207"/>
    </row>
    <row r="43" spans="1:5" x14ac:dyDescent="0.3">
      <c r="B43" s="5" t="s">
        <v>8</v>
      </c>
      <c r="C43" s="208" t="s">
        <v>24</v>
      </c>
      <c r="D43" s="208"/>
      <c r="E43" s="208"/>
    </row>
    <row r="44" spans="1:5" x14ac:dyDescent="0.3">
      <c r="B44" s="16" t="s">
        <v>25</v>
      </c>
      <c r="C44" s="207" t="s">
        <v>26</v>
      </c>
      <c r="D44" s="207"/>
      <c r="E44" s="207"/>
    </row>
    <row r="45" spans="1:5" x14ac:dyDescent="0.3">
      <c r="B45" s="5" t="s">
        <v>27</v>
      </c>
      <c r="C45" s="208" t="s">
        <v>31</v>
      </c>
      <c r="D45" s="208"/>
      <c r="E45" s="208"/>
    </row>
    <row r="46" spans="1:5" s="17" customFormat="1" x14ac:dyDescent="0.3">
      <c r="A46" s="18"/>
      <c r="B46" s="20"/>
      <c r="C46" s="21"/>
      <c r="D46" s="21"/>
      <c r="E46" s="21"/>
    </row>
    <row r="47" spans="1:5" s="17" customFormat="1" x14ac:dyDescent="0.3">
      <c r="A47" s="18">
        <v>17</v>
      </c>
      <c r="B47" s="24" t="s">
        <v>91</v>
      </c>
      <c r="C47" s="21"/>
      <c r="D47" s="21"/>
      <c r="E47" s="21"/>
    </row>
    <row r="48" spans="1:5" s="17" customFormat="1" ht="30" customHeight="1" x14ac:dyDescent="0.3">
      <c r="A48" s="18"/>
      <c r="B48" s="16" t="s">
        <v>63</v>
      </c>
      <c r="C48" s="207" t="s">
        <v>93</v>
      </c>
      <c r="D48" s="207"/>
      <c r="E48" s="207"/>
    </row>
    <row r="49" spans="1:5" s="17" customFormat="1" x14ac:dyDescent="0.3">
      <c r="A49" s="18"/>
      <c r="B49" s="20" t="s">
        <v>64</v>
      </c>
      <c r="C49" s="208" t="s">
        <v>92</v>
      </c>
      <c r="D49" s="208"/>
      <c r="E49" s="208"/>
    </row>
    <row r="50" spans="1:5" s="17" customFormat="1" ht="48.75" customHeight="1" x14ac:dyDescent="0.3">
      <c r="A50" s="18"/>
      <c r="B50" s="16" t="s">
        <v>65</v>
      </c>
      <c r="C50" s="207" t="s">
        <v>95</v>
      </c>
      <c r="D50" s="207"/>
      <c r="E50" s="207"/>
    </row>
    <row r="51" spans="1:5" s="17" customFormat="1" ht="29.25" customHeight="1" x14ac:dyDescent="0.3">
      <c r="A51" s="18"/>
      <c r="B51" s="20" t="s">
        <v>66</v>
      </c>
      <c r="C51" s="208" t="s">
        <v>94</v>
      </c>
      <c r="D51" s="208"/>
      <c r="E51" s="208"/>
    </row>
    <row r="52" spans="1:5" x14ac:dyDescent="0.3">
      <c r="B52" s="5"/>
      <c r="C52" s="6"/>
      <c r="D52" s="6"/>
      <c r="E52" s="6"/>
    </row>
    <row r="53" spans="1:5" ht="94.5" customHeight="1" x14ac:dyDescent="0.3">
      <c r="A53" s="1">
        <v>18</v>
      </c>
      <c r="B53" s="205" t="s">
        <v>33</v>
      </c>
      <c r="C53" s="205"/>
      <c r="D53" s="205"/>
      <c r="E53" s="205"/>
    </row>
    <row r="55" spans="1:5" x14ac:dyDescent="0.3">
      <c r="B55" s="2"/>
    </row>
    <row r="56" spans="1:5" x14ac:dyDescent="0.3">
      <c r="A56" s="204" t="s">
        <v>35</v>
      </c>
      <c r="B56" s="204"/>
      <c r="C56" s="204"/>
      <c r="D56" s="204"/>
      <c r="E56" s="204"/>
    </row>
  </sheetData>
  <mergeCells count="36">
    <mergeCell ref="C48:E48"/>
    <mergeCell ref="C49:E49"/>
    <mergeCell ref="C51:E51"/>
    <mergeCell ref="C50:E50"/>
    <mergeCell ref="B29:E29"/>
    <mergeCell ref="B33:E33"/>
    <mergeCell ref="B35:E35"/>
    <mergeCell ref="B31:E31"/>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6:E56"/>
    <mergeCell ref="B19:E19"/>
    <mergeCell ref="B53:E53"/>
    <mergeCell ref="B37:E37"/>
    <mergeCell ref="C38:E38"/>
    <mergeCell ref="C39:E39"/>
    <mergeCell ref="C40:E40"/>
    <mergeCell ref="C41:E41"/>
    <mergeCell ref="C42:E42"/>
    <mergeCell ref="C43:E43"/>
    <mergeCell ref="C44:E44"/>
    <mergeCell ref="C45:E45"/>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2014-08-01T16:28:27Z</cp:lastPrinted>
  <dcterms:created xsi:type="dcterms:W3CDTF">2013-05-11T20:19:37Z</dcterms:created>
  <dcterms:modified xsi:type="dcterms:W3CDTF">2015-06-30T16:49:33Z</dcterms:modified>
</cp:coreProperties>
</file>