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2" yWindow="5400" windowWidth="23064" windowHeight="5436"/>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Transactions'!$A$1:$S$64</definedName>
    <definedName name="Query_from_MS_Access_Database" localSheetId="1" hidden="1">'Regional Loans and Transfers'!$A$11:$R$28</definedName>
    <definedName name="Query_from_MS_Access_Database_1" localSheetId="0" hidden="1">'Federal Funds Transactions'!$A$15:$P$32</definedName>
    <definedName name="Query_from_MS_Access_Database_1" localSheetId="1" hidden="1">'Regional Loans and Transfers'!$A$35:$R$52</definedName>
    <definedName name="Query_from_MS_Access_Database_2" localSheetId="0" hidden="1">'Federal Funds Transactions'!$A$37:$P$38</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R38" i="1" l="1"/>
  <c r="I38" i="1"/>
  <c r="Q38" i="1"/>
  <c r="R16" i="1"/>
  <c r="R17" i="1"/>
  <c r="R18" i="1" s="1"/>
  <c r="R19" i="1" s="1"/>
  <c r="R20" i="1" s="1"/>
  <c r="R21" i="1" s="1"/>
  <c r="R22" i="1" s="1"/>
  <c r="R23" i="1" s="1"/>
  <c r="R24" i="1" s="1"/>
  <c r="R25" i="1" s="1"/>
  <c r="R26" i="1" s="1"/>
  <c r="R27" i="1" s="1"/>
  <c r="R28" i="1" s="1"/>
  <c r="R29" i="1" s="1"/>
  <c r="R30" i="1" s="1"/>
  <c r="R31" i="1" s="1"/>
  <c r="R32" i="1" s="1"/>
  <c r="I16" i="1"/>
  <c r="I17" i="1"/>
  <c r="I18" i="1"/>
  <c r="I19" i="1"/>
  <c r="I20" i="1"/>
  <c r="I21" i="1"/>
  <c r="I22" i="1"/>
  <c r="I23" i="1"/>
  <c r="I24" i="1"/>
  <c r="I25" i="1"/>
  <c r="I26" i="1"/>
  <c r="I27" i="1"/>
  <c r="I28" i="1"/>
  <c r="I29" i="1"/>
  <c r="I30" i="1"/>
  <c r="I31" i="1"/>
  <c r="I32" i="1"/>
  <c r="Q16" i="1"/>
  <c r="Q17" i="1"/>
  <c r="Q18" i="1"/>
  <c r="Q19" i="1"/>
  <c r="Q20" i="1"/>
  <c r="Q21" i="1"/>
  <c r="Q22" i="1"/>
  <c r="Q23" i="1"/>
  <c r="Q24" i="1"/>
  <c r="Q25" i="1"/>
  <c r="Q26" i="1"/>
  <c r="Q27" i="1"/>
  <c r="Q28" i="1"/>
  <c r="Q29" i="1"/>
  <c r="Q30" i="1"/>
  <c r="Q31" i="1"/>
  <c r="Q32" i="1"/>
  <c r="R7" i="1" l="1"/>
  <c r="P7" i="1"/>
  <c r="N7" i="1"/>
  <c r="O5" i="1" l="1"/>
  <c r="P5" i="1" l="1"/>
  <c r="Q5" i="1" l="1"/>
  <c r="R5" i="1" s="1"/>
  <c r="R11" i="1" l="1"/>
  <c r="P11" i="1"/>
  <c r="O11" i="1"/>
  <c r="N11" i="1"/>
  <c r="R10" i="1"/>
  <c r="P10" i="1"/>
  <c r="O10" i="1"/>
  <c r="N10" i="1"/>
  <c r="R9" i="1"/>
  <c r="P9" i="1"/>
  <c r="O9" i="1"/>
  <c r="N9" i="1"/>
  <c r="R8" i="1"/>
  <c r="P8" i="1"/>
  <c r="O8" i="1"/>
  <c r="N8" i="1"/>
  <c r="O7" i="1"/>
  <c r="R6" i="1"/>
  <c r="P6" i="1"/>
  <c r="O6" i="1"/>
  <c r="N6" i="1"/>
  <c r="B5" i="3" l="1"/>
  <c r="D11" i="2" l="1"/>
  <c r="D13" i="2" s="1"/>
  <c r="R46" i="1" l="1"/>
  <c r="P46" i="1"/>
  <c r="O46" i="1"/>
  <c r="N46" i="1"/>
  <c r="Q46" i="1" l="1"/>
  <c r="Q39" i="1" l="1"/>
  <c r="A7" i="3"/>
  <c r="O39" i="1" l="1"/>
  <c r="P39" i="1"/>
  <c r="N39" i="1"/>
  <c r="O33" i="1"/>
  <c r="P33" i="1"/>
  <c r="N33" i="1"/>
  <c r="N12" i="1" l="1"/>
  <c r="P12" i="1"/>
  <c r="Q7" i="1"/>
  <c r="Q8" i="1"/>
  <c r="Q9" i="1"/>
  <c r="Q10" i="1"/>
  <c r="Q11" i="1"/>
  <c r="Q33" i="1" l="1"/>
  <c r="O12" i="1" l="1"/>
  <c r="O34" i="1" s="1"/>
  <c r="O40" i="1" s="1"/>
  <c r="O45" i="1" s="1"/>
  <c r="Q6" i="1"/>
  <c r="R12" i="1" l="1"/>
  <c r="A1" i="3"/>
  <c r="N34" i="1" l="1"/>
  <c r="N40" i="1" s="1"/>
  <c r="N45" i="1" s="1"/>
  <c r="N47" i="1" s="1"/>
  <c r="R45" i="1" l="1"/>
  <c r="R47" i="1" s="1"/>
  <c r="Q4" i="1"/>
  <c r="Q12" i="1" s="1"/>
  <c r="Q34" i="1" l="1"/>
  <c r="Q40" i="1" s="1"/>
  <c r="P34" i="1"/>
  <c r="P40" i="1" s="1"/>
  <c r="P45" i="1" l="1"/>
  <c r="P47" i="1" l="1"/>
  <c r="Q45" i="1" l="1"/>
  <c r="O47" i="1"/>
  <c r="Q47" i="1" l="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01-CAAG LEDGER`.`ADOT#`, `01-CAAG LEDGER`.`TIP#`, `01-CAAG LEDGER`.Sponsor, `01-CAAG LEDGER`.`Action/15`, `01-CAAG LEDGER`.Location, `01-CAAG LEDGER`.RTE, `01-CAAG LEDGER`.SEC, `01-CAAG LEDGER`.SEQ, `01-CAAG LEDGER`.`PB Expected`, `01-CAAG LEDGER`.`PB Received`, `01-CAAG LEDGER`.`PF Transmitted`, `01-CAAG LEDGER`.`Finance Authorization`, `01-CAAG LEDGER`.HSIP, `01-CAAG LEDGER`.SPR, `01-CAAG LEDGER`.`STP OTHER`_x000d__x000a_FROM `G:\FMS\RESOURCE\ACCESS\010614 PBPF\011614 PBPF front.accdb`.`01-CAAG LEDGER` `01-CAAG LEDGER`_x000d__x000a_WHERE (`01-CAAG LEDGER`.`ADOT#` Not Like 'TRICK') AND (`01-CAAG LEDGER`.`Finance Authorization`&gt;=#10/1/2015# AND `01-CAAG LEDGER`.`Finance Authorization`&lt;=#9/30/2016#)_x000d__x000a_ORDER BY `01-CAAG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01-CAGqryLedgerApportsCrosstab`.`Transaction Year`, `01-CAGqryLedgerApportsCrosstab`.`Transaction Type`, `01-CAGqryLedgerApportsCrosstab`.Number, `01-CAGqryLedgerApportsCrosstab`.`From`, `01-CAGqryLedgerApportsCrosstab`.To, `01-CAGqryLedgerApportsCrosstab`.`Repayment Year`, `01-CAGqryLedgerApportsCrosstab`.Project8, `01-CAGqryLedgerApportsCrosstab`.Notes, `01-CAGqryLedgerApportsCrosstab`.Total, `01-CAGqryLedgerApportsCrosstab`.CMAQ, `01-CAGqryLedgerApportsCrosstab`.`CMAQ 2_5`, `01-CAGqryLedgerApportsCrosstab`.HSIP, `01-CAGqryLedgerApportsCrosstab`.PL, `01-CAGqryLedgerApportsCrosstab`.SPR, `01-CAGqryLedgerApportsCrosstab`.`STP other`, `01-CAGqryLedgerApportsCrosstab`.`STP over 200K`, `01-CAGqryLedgerApportsCrosstab`.`TA other`, `01-CAGqryLedgerApportsCrosstab`.`TA over 200K` FROM `01-CAGqryLedgerApportsCrosstab` WHERE (`01-CAG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01-CAGqryLedgerOACrosstab`.`Transaction Year`, `01-CAGqryLedgerOACrosstab`.`Transaction Type`, `01-CAGqryLedgerOACrosstab`.Number, `01-CAGqryLedgerOACrosstab`.`From`, `01-CAGqryLedgerOACrosstab`.TO, `01-CAGqryLedgerOACrosstab`.`Repayment Year`, `01-CAGqryLedgerOACrosstab`.PROJECT8, `01-CAGqryLedgerOACrosstab`.NOTES, `01-CAGqryLedgerOACrosstab`.Total, `01-CAGqryLedgerOACrosstab`.CMAQ, `01-CAGqryLedgerOACrosstab`.`CMAQ 2_5`, `01-CAGqryLedgerOACrosstab`.HSIP, `01-CAGqryLedgerOACrosstab`.PL, `01-CAGqryLedgerOACrosstab`.SPR, `01-CAGqryLedgerOACrosstab`.`STP other`, `01-CAGqryLedgerOACrosstab`.`STP over 200K`, `01-CAGqryLedgerOACrosstab`.`TA other`, `01-CAGqryLedgerOACrosstab`.`TA over 200K` FROM `01-CAGqryLedgerOACrosstab` WHERE (`01-CAG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01-CAAG LEDGER`.`ADOT#`, `01-CAAG LEDGER`.`TIP#`, `01-CAAG LEDGER`.Sponsor, `01-CAAG LEDGER`.`Action/15`, `01-CAAG LEDGER`.Location, `01-CAAG LEDGER`.RTE, `01-CAAG LEDGER`.SEC, `01-CAAG LEDGER`.SEQ, `01-CAAG LEDGER`.`PB Expected`, `01-CAAG LEDGER`.`PB Received`, `01-CAAG LEDGER`.`PF Transmitted`, `01-CAAG LEDGER`.`Finance Authorization`, `01-CAAG LEDGER`.HSIP, `01-CAAG LEDGER`.SPR, `01-CAAG LEDGER`.`STP OTHER`_x000d__x000a_FROM `G:\FMS\RESOURCE\ACCESS\010614 PBPF\011614 PBPF front.accdb`.`01-CAAG LEDGER` `01-CAAG LEDGER`_x000d__x000a_WHERE (`01-CAAG LEDGER`.`ADOT#` Not Like 'Trick') AND (`01-CAAG LEDGER`.`Finance Authorization` Is Null) AND ((`01-CAAG LEDGER`.`PB Expected`&gt;=#10/1/2015# and `PB Expected`&lt;=#9/30/2016#) OR (`01-CAAG LEDGER`.`PB Received`&gt;=#10/1/2015# and `PB Received`&lt;=#9/30/2016#) OR (`01-CAAG LEDGER`.`PF Transmitted`&gt;=#10/1/2015# and `PF Transmitted`&lt;=#9/30/2016#))_x000d__x000a_ORDER BY `01-CAAG LEDGER`.`ADOT#`"/>
  </connection>
</connections>
</file>

<file path=xl/sharedStrings.xml><?xml version="1.0" encoding="utf-8"?>
<sst xmlns="http://schemas.openxmlformats.org/spreadsheetml/2006/main" count="544" uniqueCount="237">
  <si>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</si>
  <si>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</si>
  <si>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</si>
  <si>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</si>
  <si>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</si>
  <si>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</si>
  <si>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</si>
  <si>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</si>
  <si>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</si>
  <si>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</si>
  <si>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</si>
  <si>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</si>
  <si>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</si>
  <si>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</si>
  <si>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</si>
  <si>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</si>
  <si>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</si>
  <si>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</si>
  <si>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</si>
  <si>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</si>
  <si>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</si>
  <si>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</si>
  <si>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</si>
  <si>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</si>
  <si>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</si>
  <si>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</si>
  <si>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</si>
  <si>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</si>
  <si>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</si>
  <si>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</si>
  <si>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</si>
  <si>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</si>
  <si>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</si>
  <si>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r>
      <t xml:space="preserve">LAPSING FUNDS:  </t>
    </r>
    <r>
      <rPr>
        <sz val="11"/>
        <rFont val="Calibri"/>
        <family val="2"/>
        <scheme val="minor"/>
      </rPr>
      <t xml:space="preserve">Carried forward apportionments and obligation authority lapse pursuant to the following schedule:
</t>
    </r>
    <r>
      <rPr>
        <sz val="8"/>
        <rFont val="Wingdings"/>
        <charset val="2"/>
      </rPr>
      <t>t</t>
    </r>
    <r>
      <rPr>
        <sz val="11"/>
        <rFont val="Calibri"/>
        <family val="2"/>
        <scheme val="minor"/>
      </rPr>
      <t xml:space="preserve">   Carried forward from FFY 11 and earlier - lapses 6/30/13
</t>
    </r>
    <r>
      <rPr>
        <sz val="8"/>
        <rFont val="Wingdings"/>
        <charset val="2"/>
      </rPr>
      <t>t</t>
    </r>
    <r>
      <rPr>
        <sz val="11"/>
        <rFont val="Calibri"/>
        <family val="2"/>
        <scheme val="minor"/>
      </rPr>
      <t xml:space="preserve">   FFY 12 funds - lapses 6/30/13
</t>
    </r>
    <r>
      <rPr>
        <sz val="8"/>
        <rFont val="Wingdings"/>
        <charset val="2"/>
      </rPr>
      <t>t</t>
    </r>
    <r>
      <rPr>
        <sz val="11"/>
        <rFont val="Calibri"/>
        <family val="2"/>
        <scheme val="minor"/>
      </rPr>
      <t xml:space="preserve">   FFY 13 funds - lapses 6/30/14
</t>
    </r>
    <r>
      <rPr>
        <sz val="8"/>
        <rFont val="Wingdings"/>
        <charset val="2"/>
      </rPr>
      <t xml:space="preserve">t </t>
    </r>
    <r>
      <rPr>
        <sz val="11"/>
        <rFont val="Calibri"/>
        <family val="2"/>
        <scheme val="minor"/>
      </rPr>
      <t xml:space="preserve">Funds from FFY 14 and thereafter - lapse annually on 6/30 of the year of allocation
</t>
    </r>
  </si>
  <si>
    <t xml:space="preserve">Action types: </t>
  </si>
  <si>
    <t>Please direct questions regarding federal funding ledgers to ADOT Financial Management Services at 602-712-7441.</t>
  </si>
  <si>
    <t>2013</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</si>
  <si>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</si>
  <si>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</si>
  <si>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</si>
  <si>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</si>
  <si>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</si>
  <si>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</si>
  <si>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</si>
  <si>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CMAQ</t>
  </si>
  <si>
    <t>CMAQ 2_5</t>
  </si>
  <si>
    <t>PL</t>
  </si>
  <si>
    <t>STP over 200K</t>
  </si>
  <si>
    <t>TA other</t>
  </si>
  <si>
    <t>TA over 200K</t>
  </si>
  <si>
    <t>Transaction Year</t>
  </si>
  <si>
    <t>Transaction Type</t>
  </si>
  <si>
    <t>Repayment Year</t>
  </si>
  <si>
    <t>MAG</t>
  </si>
  <si>
    <t>Transfer Out</t>
  </si>
  <si>
    <t>CAG</t>
  </si>
  <si>
    <t>CAG-T001</t>
  </si>
  <si>
    <t>None</t>
  </si>
  <si>
    <t>STP Transfer to MAG for Maricopa Casa Grande Hwy MAR 12-01C</t>
  </si>
  <si>
    <t>RTE</t>
  </si>
  <si>
    <t>SEC</t>
  </si>
  <si>
    <t>SEQ</t>
  </si>
  <si>
    <t>PB Expected</t>
  </si>
  <si>
    <t>PB Received</t>
  </si>
  <si>
    <t>PF Transmitted</t>
  </si>
  <si>
    <t>Finance Authorization</t>
  </si>
  <si>
    <t>0</t>
  </si>
  <si>
    <t>STP OTHER</t>
  </si>
  <si>
    <t>FED #</t>
  </si>
  <si>
    <t>EXPECTED DECLINING BALANCE OA</t>
  </si>
  <si>
    <t>TOTAL</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</si>
  <si>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</si>
  <si>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</si>
  <si>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</si>
  <si>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</si>
  <si>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STP</t>
  </si>
  <si>
    <t>OA</t>
  </si>
  <si>
    <t>HSIP/3</t>
  </si>
  <si>
    <t>/ 6</t>
  </si>
  <si>
    <r>
      <t xml:space="preserve">Available HSIP funding should be programmed </t>
    </r>
    <r>
      <rPr>
        <b/>
        <i/>
        <sz val="11"/>
        <color theme="1"/>
        <rFont val="Calibri"/>
        <family val="2"/>
        <scheme val="minor"/>
      </rPr>
      <t>only</t>
    </r>
    <r>
      <rPr>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</si>
  <si>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</si>
  <si>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</si>
  <si>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</si>
  <si>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</si>
  <si>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</si>
  <si>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</si>
  <si>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</si>
  <si>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</si>
  <si>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</si>
  <si>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</si>
  <si>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</si>
  <si>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</si>
  <si>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</si>
  <si>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CURRENT YEAR FUNDS</t>
  </si>
  <si>
    <t xml:space="preserve">Federal Aid Transaction Ledger
</t>
  </si>
  <si>
    <t>Data as of:</t>
  </si>
  <si>
    <t xml:space="preserve">Federal Aid Regional Loans and Transfers Ledger
</t>
  </si>
  <si>
    <t>Action/15</t>
  </si>
  <si>
    <t>TOTAL OF  AMOUNT</t>
  </si>
  <si>
    <t>TOTAL OF AMOUNT</t>
  </si>
  <si>
    <t>Expected Totals</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</si>
  <si>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</si>
  <si>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r>
      <rPr>
        <b/>
        <sz val="11"/>
        <color rgb="FFFF0000"/>
        <rFont val="Arial Unicode MS"/>
        <family val="2"/>
      </rPr>
      <t xml:space="preserve">DRAFT </t>
    </r>
    <r>
      <rPr>
        <sz val="11"/>
        <color theme="1"/>
        <rFont val="Arial Unicode MS"/>
        <family val="2"/>
      </rPr>
      <t>Data as of:</t>
    </r>
  </si>
  <si>
    <t>From</t>
  </si>
  <si>
    <t>TO</t>
  </si>
  <si>
    <t>PROJECT8</t>
  </si>
  <si>
    <t>NOTES</t>
  </si>
  <si>
    <t>DECLINING BALANCE OA</t>
  </si>
  <si>
    <t>ADOT</t>
  </si>
  <si>
    <t>2014</t>
  </si>
  <si>
    <t>CAG-T002</t>
  </si>
  <si>
    <t>SUNMPO</t>
  </si>
  <si>
    <t>SZ130</t>
  </si>
  <si>
    <t>STP Transfer to SCMPO from SUNMPO</t>
  </si>
  <si>
    <t>Current FFY
Apportionments /5</t>
  </si>
  <si>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</si>
  <si>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Central Arizona Goverments</t>
  </si>
  <si>
    <t>To</t>
  </si>
  <si>
    <t>Project8</t>
  </si>
  <si>
    <t>Notes</t>
  </si>
  <si>
    <t>Lapsing</t>
  </si>
  <si>
    <t>CAG14-LP01</t>
  </si>
  <si>
    <t>CAG LAPSING FUNDS - FFY14</t>
  </si>
  <si>
    <t>"Lapsing" represent Obligation Authority and Approtionments that were not used by the region prior to June 30th.  See the Apportionment and OA Transfer tables for transaction detail.</t>
  </si>
  <si>
    <t>APPORTIONMENT LOANS, REPAYMENTS AND TRANSFERS /see Notes 7 - 13</t>
  </si>
  <si>
    <t>OA LOANS, REPAYMENTS AND TRANSFERS /see Notes 7 - 13</t>
  </si>
  <si>
    <r>
      <t xml:space="preserve">FFY Total Available 
</t>
    </r>
    <r>
      <rPr>
        <b/>
        <sz val="9"/>
        <color rgb="FFFF0000"/>
        <rFont val="Arial Unicode MS"/>
        <family val="2"/>
      </rPr>
      <t xml:space="preserve">**LAPSES ON 6/30** </t>
    </r>
    <r>
      <rPr>
        <sz val="9"/>
        <rFont val="Arial Unicode MS"/>
        <family val="2"/>
      </rPr>
      <t>/14</t>
    </r>
  </si>
  <si>
    <t>AUTHORIZED FINANCE ACTIONS /15</t>
  </si>
  <si>
    <t>Processing Status /17</t>
  </si>
  <si>
    <t>LAPSING FUNDS /18</t>
  </si>
  <si>
    <t>Loan Out</t>
  </si>
  <si>
    <t>CAG-L001</t>
  </si>
  <si>
    <t>2015</t>
  </si>
  <si>
    <t>SZ153</t>
  </si>
  <si>
    <t>CAG OA LOAN TO ADOT</t>
  </si>
  <si>
    <t>Repayment In</t>
  </si>
  <si>
    <t>PAYSON</t>
  </si>
  <si>
    <t>PAY</t>
  </si>
  <si>
    <t>203</t>
  </si>
  <si>
    <t>A</t>
  </si>
  <si>
    <t>CAG-15L1</t>
  </si>
  <si>
    <t>WACOG</t>
  </si>
  <si>
    <t>2018</t>
  </si>
  <si>
    <t>CAG HSIP Loan to WACOG</t>
  </si>
  <si>
    <t>Loan In</t>
  </si>
  <si>
    <t>SCMPO-15L1</t>
  </si>
  <si>
    <t>2017</t>
  </si>
  <si>
    <t>SCMPO Loan to CAG</t>
  </si>
  <si>
    <t>Repayment Out</t>
  </si>
  <si>
    <t>2016</t>
  </si>
  <si>
    <t>SUP-16-01D</t>
  </si>
  <si>
    <t>SUPERIOR</t>
  </si>
  <si>
    <t>VARIOUS LOCATIONS - SUPERIOR SIGN STRIPING UPGRADE</t>
  </si>
  <si>
    <t>SUP</t>
  </si>
  <si>
    <t>Federal Fiscal Year 2016</t>
  </si>
  <si>
    <t>202</t>
  </si>
  <si>
    <t>Planned Lapsing - 06/30/16</t>
  </si>
  <si>
    <t>Lapsed - 07/01/16</t>
  </si>
  <si>
    <t>Planned Lapsing - 09/30/16</t>
  </si>
  <si>
    <t>Carry Forward to FFY 17</t>
  </si>
  <si>
    <t>State FY 16 Approved work program amount</t>
  </si>
  <si>
    <t>State FY 17 amount avaiilable for authorization 07/1/16 - 09/30/16 (request must be submitted by 09/01/16)</t>
  </si>
  <si>
    <t>Total SPR apportionments for Federal Fiscal Year 16 (as shown on ledger)</t>
  </si>
  <si>
    <t>State FY 16 amount authorized prior to 09/30/15 or Lapsed FY15 funding</t>
  </si>
  <si>
    <t xml:space="preserve">State FY 16 amount available for authorization 10/01/15 - 06/30/16 </t>
  </si>
  <si>
    <t>RLTAP21P</t>
  </si>
  <si>
    <t>VARIOUS</t>
  </si>
  <si>
    <t>LTAP - FY16</t>
  </si>
  <si>
    <t>094</t>
  </si>
  <si>
    <t>CAG 16-01P</t>
  </si>
  <si>
    <t>CAG 2016 WORK PROGM (STP HPMS)</t>
  </si>
  <si>
    <t>999</t>
  </si>
  <si>
    <t>CAG 2016 WP - SPR</t>
  </si>
  <si>
    <t>000</t>
  </si>
  <si>
    <t>I</t>
  </si>
  <si>
    <t>188</t>
  </si>
  <si>
    <t>SH48701C</t>
  </si>
  <si>
    <t>LOCAL</t>
  </si>
  <si>
    <t>QUEEN CREEK - CAG</t>
  </si>
  <si>
    <t>TOWN OF QUEEN CREEK - CAG REGION</t>
  </si>
  <si>
    <t>QCR</t>
  </si>
  <si>
    <t>210</t>
  </si>
  <si>
    <t>SH58001C</t>
  </si>
  <si>
    <t>PAY13-02C</t>
  </si>
  <si>
    <t>Town of Payson-Various Locations</t>
  </si>
  <si>
    <t>204</t>
  </si>
  <si>
    <t>SH58101C</t>
  </si>
  <si>
    <t>CSG13-01C</t>
  </si>
  <si>
    <t>CASA GRANDE</t>
  </si>
  <si>
    <t>City of Casa Grande-Various locations</t>
  </si>
  <si>
    <t>CSG</t>
  </si>
  <si>
    <t>P0CAG22P</t>
  </si>
  <si>
    <t>SH49401C</t>
  </si>
  <si>
    <t>CAAG/AMENDMENT #3 2011</t>
  </si>
  <si>
    <t>GLOBE</t>
  </si>
  <si>
    <t>City of Globe-Various Locations</t>
  </si>
  <si>
    <t>GLB</t>
  </si>
  <si>
    <t>SH49701C</t>
  </si>
  <si>
    <t>CLG 11-01S</t>
  </si>
  <si>
    <t>COOLIDGE</t>
  </si>
  <si>
    <t>CITY OF COOLIDGE-CAAG REGION</t>
  </si>
  <si>
    <t>CLG</t>
  </si>
  <si>
    <t>SH65101C</t>
  </si>
  <si>
    <t>WKL-16-01C</t>
  </si>
  <si>
    <t>WINKELMAN</t>
  </si>
  <si>
    <t>TOWN OF WINKELMAN</t>
  </si>
  <si>
    <t>WKL</t>
  </si>
  <si>
    <t>200</t>
  </si>
  <si>
    <t>SH65103D</t>
  </si>
  <si>
    <t>WKL 15-01D</t>
  </si>
  <si>
    <t>SIGN AND PAVEMENT MARKINGS INVENTORY, WINKLEMAN</t>
  </si>
  <si>
    <t>SH50201C</t>
  </si>
  <si>
    <t>TOWN OF SUPERIOR SIGN REHAB</t>
  </si>
  <si>
    <t>201</t>
  </si>
  <si>
    <t>The  OA to apportionments for FFY 16 is 94.9%.  The rate for calculations is 0.949331239483705.</t>
  </si>
  <si>
    <t>T002201D</t>
  </si>
  <si>
    <t>PAY19-02D</t>
  </si>
  <si>
    <t>LONGHORN RD AND MCLANE RD INTERSECTION</t>
  </si>
  <si>
    <t>207</t>
  </si>
  <si>
    <t>PCG1403P</t>
  </si>
  <si>
    <t>502</t>
  </si>
  <si>
    <t>CAG-16L1</t>
  </si>
  <si>
    <t>CAG STP Loan to ADOT</t>
  </si>
  <si>
    <t>CAG HSIP Loan to ADOT</t>
  </si>
  <si>
    <t>CAG-16L2</t>
  </si>
  <si>
    <t>P0CAG21P</t>
  </si>
  <si>
    <t>72915</t>
  </si>
  <si>
    <t>Centeral Association of Goverments</t>
  </si>
  <si>
    <t>186</t>
  </si>
  <si>
    <t>475</t>
  </si>
  <si>
    <t>T007901D</t>
  </si>
  <si>
    <t>CAG-16L3</t>
  </si>
  <si>
    <t>PCG1701P</t>
  </si>
  <si>
    <t>N/A</t>
  </si>
  <si>
    <t>CAG 2017 WP - SPR</t>
  </si>
  <si>
    <t>S</t>
  </si>
  <si>
    <t>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</si>
</sst>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43" formatCode="_(* #,##0.00_);_(* \(#,##0.00\);_(* &quot;-&quot;??_);_(@_)"/>
  </numFmts>
  <fonts count="52"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b/>
      <sz val="11"/>
      <color rgb="FFFF0000"/>
      <name val="Calibri"/>
      <family val="2"/>
      <scheme val="minor"/>
    </font>
    <font>
      <sz val="8"/>
      <name val="Wingdings"/>
      <charset val="2"/>
    </font>
    <font>
      <sz val="10"/>
      <color indexed="8"/>
      <name val="Arial"/>
      <family val="2"/>
    </font>
    <font>
      <sz val="11"/>
      <color indexed="8"/>
      <name val="Calibri"/>
      <family val="2"/>
    </font>
    <font>
      <b/>
      <sz val="10"/>
      <name val="Calibri"/>
      <family val="2"/>
      <scheme val="minor"/>
    </font>
    <font>
      <b/>
      <i/>
      <sz val="11"/>
      <color theme="1"/>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sz val="10"/>
      <color theme="0"/>
      <name val="Arial Unicode MS"/>
      <family val="2"/>
    </font>
    <font>
      <b/>
      <sz val="10"/>
      <color theme="0"/>
      <name val="Arial Unicode MS"/>
      <family val="2"/>
    </font>
    <font>
      <b/>
      <sz val="9"/>
      <color theme="0"/>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0"/>
      <name val="Arial Unicode MS"/>
      <family val="2"/>
    </font>
    <font>
      <b/>
      <sz val="11"/>
      <name val="Arial Unicode MS"/>
      <family val="2"/>
    </font>
    <font>
      <sz val="11"/>
      <color theme="1"/>
      <name val="Calibri"/>
      <family val="2"/>
      <scheme val="minor"/>
    </font>
    <font>
      <sz val="11"/>
      <color theme="1"/>
      <name val="Calibri"/>
      <family val="2"/>
      <scheme val="minor"/>
    </font>
    <font>
      <sz val="11"/>
      <color theme="1"/>
      <name val="Calibri"/>
      <family val="2"/>
      <scheme val="minor"/>
    </font>
    <font>
      <sz val="9"/>
      <name val="Arial Unicode MS"/>
      <family val="2"/>
    </font>
    <font>
      <sz val="9"/>
      <color theme="1"/>
      <name val="Arial Unicode MS"/>
      <family val="2"/>
    </font>
    <font>
      <sz val="9"/>
      <color theme="1"/>
      <name val="Arial Unicode MS"/>
      <family val="2"/>
    </font>
    <font>
      <sz val="9"/>
      <name val="Arial Unicode MS"/>
      <family val="2"/>
    </font>
    <font>
      <sz val="9"/>
      <name val="Arial Unicode MS"/>
      <family val="2"/>
    </font>
    <font>
      <sz val="9"/>
      <color theme="1"/>
      <name val="Arial Unicode MS"/>
      <family val="2"/>
    </font>
    <font>
      <sz val="9"/>
      <name val="Arial Unicode MS"/>
      <family val="2"/>
    </font>
    <font>
      <sz val="9"/>
      <color theme="1"/>
      <name val="Arial Unicode MS"/>
      <family val="2"/>
    </font>
    <font>
      <sz val="11"/>
      <color theme="1"/>
      <name val="Calibri"/>
      <family val="2"/>
      <scheme val="minor"/>
    </font>
    <font>
      <sz val="9"/>
      <name val="Arial Unicode MS"/>
      <family val="2"/>
    </font>
    <font>
      <sz val="9"/>
      <color theme="1"/>
      <name val="Arial Unicode MS"/>
      <family val="2"/>
    </font>
    <font>
      <sz val="9"/>
      <name val="Arial Unicode MS"/>
      <family val="2"/>
    </font>
    <font>
      <sz val="9"/>
      <color theme="1"/>
      <name val="Arial Unicode MS"/>
      <family val="2"/>
    </font>
    <font>
      <sz val="11"/>
      <color theme="1"/>
      <name val="Calibri"/>
      <family val="2"/>
      <scheme val="minor"/>
    </font>
    <font>
      <sz val="9"/>
      <name val="Arial Unicode MS"/>
    </font>
    <font>
      <sz val="9"/>
      <color theme="1"/>
      <name val="Arial Unicode MS"/>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rgb="FFDDD9C4"/>
        <bgColor indexed="64"/>
      </patternFill>
    </fill>
    <fill>
      <patternFill patternType="solid">
        <fgColor rgb="FFDDD9C4"/>
        <bgColor theme="8"/>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4">
    <xf numFmtId="0" fontId="0" fillId="0" borderId="0"/>
    <xf numFmtId="44" fontId="1" fillId="0" borderId="0" applyFont="0" applyFill="0" applyBorder="0" applyAlignment="0" applyProtection="0"/>
    <xf numFmtId="0" fontId="8" fillId="0" borderId="0"/>
    <xf numFmtId="43" fontId="1" fillId="0" borderId="0" applyFont="0" applyFill="0" applyBorder="0" applyAlignment="0" applyProtection="0"/>
  </cellStyleXfs>
  <cellXfs count="225">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9" fillId="0" borderId="0" xfId="2" applyFont="1" applyFill="1" applyBorder="1" applyAlignment="1">
      <alignment vertical="top" wrapText="1"/>
    </xf>
    <xf numFmtId="0" fontId="9"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Alignment="1">
      <alignment horizontal="left" vertical="top" wrapText="1"/>
    </xf>
    <xf numFmtId="8" fontId="0" fillId="0" borderId="12"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9"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9" fillId="0" borderId="0" xfId="2" applyFont="1" applyFill="1" applyBorder="1" applyAlignment="1">
      <alignment vertical="top" wrapText="1"/>
    </xf>
    <xf numFmtId="0" fontId="9"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12" fillId="0" borderId="0" xfId="2" applyFont="1" applyFill="1" applyBorder="1" applyAlignment="1">
      <alignment vertical="top" wrapText="1"/>
    </xf>
    <xf numFmtId="43" fontId="0" fillId="0" borderId="0" xfId="3" applyFont="1" applyAlignment="1">
      <alignment wrapText="1"/>
    </xf>
    <xf numFmtId="43" fontId="0" fillId="0" borderId="0" xfId="3" applyFont="1" applyAlignment="1">
      <alignment vertical="top" wrapText="1"/>
    </xf>
    <xf numFmtId="43" fontId="0" fillId="0" borderId="0" xfId="3" applyFont="1" applyBorder="1" applyAlignment="1">
      <alignment vertical="top" wrapText="1"/>
    </xf>
    <xf numFmtId="43" fontId="0" fillId="0" borderId="0" xfId="3" applyFont="1" applyBorder="1" applyAlignment="1">
      <alignment wrapText="1"/>
    </xf>
    <xf numFmtId="0" fontId="14" fillId="0" borderId="0" xfId="0" applyFont="1" applyAlignment="1">
      <alignment vertical="top" wrapText="1"/>
    </xf>
    <xf numFmtId="14" fontId="14" fillId="0" borderId="0" xfId="0" applyNumberFormat="1" applyFont="1" applyAlignment="1">
      <alignment vertical="top" wrapText="1"/>
    </xf>
    <xf numFmtId="14" fontId="15" fillId="0" borderId="0" xfId="0" applyNumberFormat="1" applyFont="1" applyAlignment="1">
      <alignment horizontal="center" vertical="center" wrapText="1"/>
    </xf>
    <xf numFmtId="40" fontId="14" fillId="0" borderId="0" xfId="0" applyNumberFormat="1" applyFont="1" applyAlignment="1">
      <alignment vertical="top" wrapText="1"/>
    </xf>
    <xf numFmtId="40" fontId="14" fillId="0" borderId="0" xfId="1" applyNumberFormat="1" applyFont="1" applyAlignment="1">
      <alignment vertical="top" wrapText="1"/>
    </xf>
    <xf numFmtId="0" fontId="16" fillId="0" borderId="0" xfId="0" applyFont="1" applyAlignment="1">
      <alignment vertical="top" wrapText="1"/>
    </xf>
    <xf numFmtId="40" fontId="20" fillId="2" borderId="19" xfId="1" applyNumberFormat="1" applyFont="1" applyFill="1" applyBorder="1" applyAlignment="1">
      <alignment horizontal="center" vertical="center" wrapText="1"/>
    </xf>
    <xf numFmtId="0" fontId="16" fillId="0" borderId="0" xfId="0" applyFont="1" applyAlignment="1">
      <alignment horizontal="left" vertical="top" wrapText="1"/>
    </xf>
    <xf numFmtId="40" fontId="21" fillId="0" borderId="3" xfId="0" applyNumberFormat="1" applyFont="1" applyFill="1" applyBorder="1" applyAlignment="1">
      <alignment horizontal="right" vertical="top" wrapText="1"/>
    </xf>
    <xf numFmtId="40" fontId="21" fillId="0" borderId="1" xfId="0" applyNumberFormat="1" applyFont="1" applyFill="1" applyBorder="1" applyAlignment="1">
      <alignment horizontal="right" vertical="top" wrapText="1"/>
    </xf>
    <xf numFmtId="40" fontId="21" fillId="0" borderId="4" xfId="0" applyNumberFormat="1" applyFont="1" applyFill="1" applyBorder="1" applyAlignment="1">
      <alignment horizontal="right" vertical="top" wrapText="1"/>
    </xf>
    <xf numFmtId="49" fontId="14" fillId="0" borderId="0" xfId="1" applyNumberFormat="1" applyFont="1" applyAlignment="1">
      <alignment vertical="top" wrapText="1"/>
    </xf>
    <xf numFmtId="40" fontId="21" fillId="0" borderId="3" xfId="0" applyNumberFormat="1" applyFont="1" applyFill="1" applyBorder="1" applyAlignment="1">
      <alignment vertical="top" wrapText="1"/>
    </xf>
    <xf numFmtId="40" fontId="25" fillId="0" borderId="0" xfId="0" applyNumberFormat="1" applyFont="1" applyFill="1" applyBorder="1" applyAlignment="1">
      <alignment vertical="top" wrapText="1"/>
    </xf>
    <xf numFmtId="14" fontId="14" fillId="0" borderId="0" xfId="0" applyNumberFormat="1" applyFont="1" applyAlignment="1">
      <alignment horizontal="left" vertical="center" wrapText="1"/>
    </xf>
    <xf numFmtId="0" fontId="14" fillId="0" borderId="0" xfId="0" applyFont="1" applyAlignment="1">
      <alignment horizontal="left" vertical="top" wrapText="1"/>
    </xf>
    <xf numFmtId="40" fontId="27" fillId="0" borderId="3" xfId="0" applyNumberFormat="1" applyFont="1" applyFill="1" applyBorder="1" applyAlignment="1">
      <alignment horizontal="right" vertical="top" wrapText="1"/>
    </xf>
    <xf numFmtId="40" fontId="27" fillId="0" borderId="1" xfId="0" applyNumberFormat="1" applyFont="1" applyFill="1" applyBorder="1" applyAlignment="1">
      <alignment horizontal="right" vertical="top" wrapText="1"/>
    </xf>
    <xf numFmtId="40" fontId="24" fillId="0" borderId="0" xfId="0" applyNumberFormat="1" applyFont="1" applyBorder="1" applyAlignment="1">
      <alignment horizontal="left" vertical="top" wrapText="1"/>
    </xf>
    <xf numFmtId="40" fontId="24" fillId="0" borderId="0" xfId="0" applyNumberFormat="1" applyFont="1" applyFill="1" applyBorder="1" applyAlignment="1">
      <alignment horizontal="right" vertical="top" wrapText="1"/>
    </xf>
    <xf numFmtId="40" fontId="16" fillId="0" borderId="0" xfId="0" applyNumberFormat="1" applyFont="1" applyBorder="1" applyAlignment="1">
      <alignment vertical="top" wrapText="1"/>
    </xf>
    <xf numFmtId="40" fontId="25" fillId="0" borderId="0" xfId="0" applyNumberFormat="1" applyFont="1" applyBorder="1" applyAlignment="1">
      <alignment vertical="top" wrapText="1"/>
    </xf>
    <xf numFmtId="40" fontId="19" fillId="0" borderId="0" xfId="0" applyNumberFormat="1" applyFont="1" applyBorder="1" applyAlignment="1">
      <alignment horizontal="center" vertical="center" wrapText="1"/>
    </xf>
    <xf numFmtId="40" fontId="18" fillId="0" borderId="0" xfId="0" applyNumberFormat="1" applyFont="1" applyBorder="1" applyAlignment="1">
      <alignment horizontal="center" vertical="center" wrapText="1"/>
    </xf>
    <xf numFmtId="40" fontId="30" fillId="0" borderId="0" xfId="0" applyNumberFormat="1" applyFont="1" applyBorder="1" applyAlignment="1">
      <alignment horizontal="center" vertical="center" wrapText="1"/>
    </xf>
    <xf numFmtId="40" fontId="28" fillId="0" borderId="1" xfId="0" applyNumberFormat="1" applyFont="1" applyBorder="1" applyAlignment="1">
      <alignment horizontal="left" vertical="top" wrapText="1"/>
    </xf>
    <xf numFmtId="40" fontId="28" fillId="0" borderId="1" xfId="0" applyNumberFormat="1" applyFont="1" applyBorder="1" applyAlignment="1">
      <alignment horizontal="center" vertical="top" wrapText="1"/>
    </xf>
    <xf numFmtId="0" fontId="14" fillId="0" borderId="0" xfId="0" applyFont="1" applyBorder="1" applyAlignment="1">
      <alignment vertical="top" wrapText="1"/>
    </xf>
    <xf numFmtId="14" fontId="14" fillId="0" borderId="0" xfId="0" applyNumberFormat="1" applyFont="1" applyBorder="1" applyAlignment="1">
      <alignment vertical="top" wrapText="1"/>
    </xf>
    <xf numFmtId="40" fontId="14" fillId="0" borderId="0" xfId="0" applyNumberFormat="1" applyFont="1" applyBorder="1" applyAlignment="1">
      <alignment vertical="top" wrapText="1"/>
    </xf>
    <xf numFmtId="0" fontId="21" fillId="0" borderId="0" xfId="0" applyFont="1" applyBorder="1" applyAlignment="1">
      <alignment vertical="top" wrapText="1"/>
    </xf>
    <xf numFmtId="0" fontId="21" fillId="0" borderId="0" xfId="0" applyFont="1" applyBorder="1" applyAlignment="1">
      <alignment horizontal="center" vertical="center" wrapText="1"/>
    </xf>
    <xf numFmtId="14" fontId="21" fillId="0" borderId="0" xfId="0" applyNumberFormat="1" applyFont="1" applyBorder="1" applyAlignment="1">
      <alignment horizontal="center" vertical="center" wrapText="1"/>
    </xf>
    <xf numFmtId="14" fontId="27" fillId="0" borderId="5" xfId="0" applyNumberFormat="1" applyFont="1" applyBorder="1" applyAlignment="1">
      <alignment horizontal="right" vertical="top" wrapText="1"/>
    </xf>
    <xf numFmtId="14" fontId="19" fillId="0" borderId="0" xfId="0" applyNumberFormat="1" applyFont="1" applyBorder="1" applyAlignment="1">
      <alignment horizontal="center" vertical="center" wrapText="1"/>
    </xf>
    <xf numFmtId="14" fontId="27" fillId="0" borderId="1" xfId="0" applyNumberFormat="1" applyFont="1" applyBorder="1" applyAlignment="1">
      <alignment horizontal="right" vertical="top" wrapText="1"/>
    </xf>
    <xf numFmtId="14" fontId="18" fillId="0" borderId="0" xfId="0" applyNumberFormat="1" applyFont="1" applyBorder="1" applyAlignment="1">
      <alignment horizontal="center" vertical="center" wrapText="1"/>
    </xf>
    <xf numFmtId="14" fontId="24" fillId="0" borderId="0" xfId="0" applyNumberFormat="1" applyFont="1" applyBorder="1" applyAlignment="1">
      <alignment horizontal="right" vertical="top" wrapText="1"/>
    </xf>
    <xf numFmtId="0" fontId="25" fillId="0" borderId="0" xfId="0" applyFont="1" applyBorder="1" applyAlignment="1">
      <alignment vertical="top" wrapText="1"/>
    </xf>
    <xf numFmtId="0" fontId="25" fillId="0" borderId="0" xfId="0" applyFont="1" applyBorder="1" applyAlignment="1">
      <alignment horizontal="center" vertical="center" wrapText="1"/>
    </xf>
    <xf numFmtId="14" fontId="25" fillId="0" borderId="0" xfId="0" applyNumberFormat="1" applyFont="1" applyBorder="1" applyAlignment="1">
      <alignment horizontal="center" vertical="center" wrapText="1"/>
    </xf>
    <xf numFmtId="14" fontId="25" fillId="0" borderId="0" xfId="0" applyNumberFormat="1" applyFont="1" applyBorder="1"/>
    <xf numFmtId="40" fontId="25" fillId="0" borderId="0" xfId="0" applyNumberFormat="1" applyFont="1" applyBorder="1"/>
    <xf numFmtId="14" fontId="21" fillId="0" borderId="8" xfId="0" applyNumberFormat="1" applyFont="1" applyBorder="1" applyAlignment="1">
      <alignment horizontal="center" vertical="center" wrapText="1"/>
    </xf>
    <xf numFmtId="14" fontId="21" fillId="0" borderId="5" xfId="0" applyNumberFormat="1" applyFont="1" applyBorder="1" applyAlignment="1">
      <alignment horizontal="center" vertical="center" wrapText="1"/>
    </xf>
    <xf numFmtId="40" fontId="21" fillId="0" borderId="5" xfId="0" applyNumberFormat="1" applyFont="1" applyBorder="1" applyAlignment="1">
      <alignment horizontal="center" vertical="center" wrapText="1"/>
    </xf>
    <xf numFmtId="14" fontId="21" fillId="0" borderId="0" xfId="0" applyNumberFormat="1" applyFont="1" applyBorder="1" applyAlignment="1">
      <alignment vertical="top" wrapText="1"/>
    </xf>
    <xf numFmtId="40" fontId="21" fillId="0" borderId="0" xfId="0" applyNumberFormat="1" applyFont="1" applyBorder="1" applyAlignment="1">
      <alignment vertical="top" wrapText="1"/>
    </xf>
    <xf numFmtId="0" fontId="20" fillId="0" borderId="0" xfId="0" applyFont="1" applyAlignment="1">
      <alignment horizontal="left" vertical="top" wrapText="1"/>
    </xf>
    <xf numFmtId="0" fontId="29" fillId="0" borderId="0" xfId="0" applyFont="1" applyAlignment="1">
      <alignment horizontal="left" vertical="top"/>
    </xf>
    <xf numFmtId="14" fontId="24" fillId="0" borderId="0" xfId="0" applyNumberFormat="1" applyFont="1" applyBorder="1" applyAlignment="1">
      <alignment vertical="top" wrapText="1"/>
    </xf>
    <xf numFmtId="40" fontId="20" fillId="2" borderId="9" xfId="0" applyNumberFormat="1" applyFont="1" applyFill="1" applyBorder="1" applyAlignment="1">
      <alignment horizontal="center" vertical="center" wrapText="1"/>
    </xf>
    <xf numFmtId="40" fontId="20" fillId="0" borderId="8" xfId="0" applyNumberFormat="1" applyFont="1" applyBorder="1" applyAlignment="1">
      <alignment horizontal="center" vertical="center" wrapText="1"/>
    </xf>
    <xf numFmtId="40" fontId="20" fillId="0" borderId="5" xfId="0" applyNumberFormat="1" applyFont="1" applyBorder="1" applyAlignment="1">
      <alignment horizontal="center" vertical="center" wrapText="1"/>
    </xf>
    <xf numFmtId="14" fontId="20" fillId="0" borderId="5" xfId="0" applyNumberFormat="1" applyFont="1" applyBorder="1" applyAlignment="1">
      <alignment horizontal="center" vertical="center" wrapText="1"/>
    </xf>
    <xf numFmtId="0" fontId="31" fillId="0" borderId="0" xfId="0" applyFont="1" applyAlignment="1">
      <alignment horizontal="center" vertical="center" wrapText="1"/>
    </xf>
    <xf numFmtId="40" fontId="30" fillId="5" borderId="6" xfId="0" applyNumberFormat="1" applyFont="1" applyFill="1" applyBorder="1" applyAlignment="1">
      <alignment horizontal="center" vertical="center" wrapText="1"/>
    </xf>
    <xf numFmtId="40" fontId="17" fillId="0" borderId="0" xfId="0" applyNumberFormat="1" applyFont="1" applyBorder="1" applyAlignment="1">
      <alignment vertical="top" wrapText="1"/>
    </xf>
    <xf numFmtId="14" fontId="24" fillId="2" borderId="1" xfId="0" applyNumberFormat="1" applyFont="1" applyFill="1" applyBorder="1" applyAlignment="1">
      <alignment horizontal="center" vertical="center" wrapText="1"/>
    </xf>
    <xf numFmtId="14" fontId="20" fillId="0" borderId="9" xfId="1" applyNumberFormat="1" applyFont="1" applyFill="1" applyBorder="1" applyAlignment="1">
      <alignment horizontal="center" vertical="center" wrapText="1"/>
    </xf>
    <xf numFmtId="40" fontId="20" fillId="0" borderId="17" xfId="1" applyNumberFormat="1" applyFont="1" applyFill="1" applyBorder="1" applyAlignment="1">
      <alignment horizontal="center" vertical="center" wrapText="1"/>
    </xf>
    <xf numFmtId="40" fontId="20" fillId="0" borderId="5" xfId="1" applyNumberFormat="1" applyFont="1" applyFill="1" applyBorder="1" applyAlignment="1">
      <alignment horizontal="center" vertical="center" wrapText="1"/>
    </xf>
    <xf numFmtId="40" fontId="20" fillId="0" borderId="18" xfId="1" applyNumberFormat="1" applyFont="1" applyFill="1" applyBorder="1" applyAlignment="1">
      <alignment horizontal="center" vertical="center" wrapText="1"/>
    </xf>
    <xf numFmtId="40" fontId="21" fillId="0" borderId="3" xfId="0" applyNumberFormat="1" applyFont="1" applyBorder="1" applyAlignment="1">
      <alignment horizontal="right" vertical="top" wrapText="1"/>
    </xf>
    <xf numFmtId="40" fontId="21" fillId="0" borderId="1" xfId="0" applyNumberFormat="1" applyFont="1" applyBorder="1" applyAlignment="1">
      <alignment horizontal="right" vertical="top" wrapText="1"/>
    </xf>
    <xf numFmtId="40" fontId="21" fillId="0" borderId="4" xfId="0" applyNumberFormat="1" applyFont="1" applyBorder="1" applyAlignment="1">
      <alignment horizontal="right" vertical="top" wrapText="1"/>
    </xf>
    <xf numFmtId="14" fontId="28" fillId="2" borderId="9" xfId="0" applyNumberFormat="1" applyFont="1" applyFill="1" applyBorder="1" applyAlignment="1">
      <alignment horizontal="center" vertical="center" wrapText="1"/>
    </xf>
    <xf numFmtId="14" fontId="21" fillId="0" borderId="2" xfId="0" applyNumberFormat="1" applyFont="1" applyBorder="1" applyAlignment="1">
      <alignment horizontal="left" vertical="top" wrapText="1"/>
    </xf>
    <xf numFmtId="14" fontId="21" fillId="0" borderId="2" xfId="0" applyNumberFormat="1" applyFont="1" applyFill="1" applyBorder="1" applyAlignment="1">
      <alignment horizontal="left" vertical="top" wrapText="1"/>
    </xf>
    <xf numFmtId="14" fontId="27" fillId="0" borderId="2" xfId="0" applyNumberFormat="1" applyFont="1" applyBorder="1" applyAlignment="1">
      <alignment horizontal="left" vertical="top" wrapText="1"/>
    </xf>
    <xf numFmtId="14" fontId="21" fillId="0" borderId="1" xfId="0" applyNumberFormat="1" applyFont="1" applyBorder="1" applyAlignment="1">
      <alignment horizontal="right"/>
    </xf>
    <xf numFmtId="0" fontId="14" fillId="0" borderId="0" xfId="0" applyFont="1" applyAlignment="1">
      <alignment vertical="center"/>
    </xf>
    <xf numFmtId="14" fontId="14" fillId="0" borderId="0" xfId="0" applyNumberFormat="1" applyFont="1" applyAlignment="1">
      <alignment vertical="center" wrapText="1"/>
    </xf>
    <xf numFmtId="40" fontId="28" fillId="0" borderId="0" xfId="0" applyNumberFormat="1" applyFont="1" applyBorder="1" applyAlignment="1">
      <alignment horizontal="right" vertical="top" wrapText="1"/>
    </xf>
    <xf numFmtId="0" fontId="21" fillId="0" borderId="0" xfId="0" applyFont="1" applyAlignment="1">
      <alignment vertical="top" wrapText="1"/>
    </xf>
    <xf numFmtId="40" fontId="21" fillId="0" borderId="0" xfId="0" applyNumberFormat="1" applyFont="1" applyBorder="1" applyAlignment="1">
      <alignment horizontal="right" vertical="top" wrapText="1"/>
    </xf>
    <xf numFmtId="40" fontId="20" fillId="0" borderId="0" xfId="0" applyNumberFormat="1" applyFont="1" applyFill="1" applyBorder="1" applyAlignment="1">
      <alignment horizontal="center" vertical="center" wrapText="1"/>
    </xf>
    <xf numFmtId="40" fontId="21" fillId="0" borderId="21" xfId="0" applyNumberFormat="1" applyFont="1" applyFill="1" applyBorder="1" applyAlignment="1">
      <alignment vertical="top" wrapText="1"/>
    </xf>
    <xf numFmtId="40" fontId="21" fillId="0" borderId="1" xfId="0" applyNumberFormat="1" applyFont="1" applyFill="1" applyBorder="1" applyAlignment="1">
      <alignment vertical="top" wrapText="1"/>
    </xf>
    <xf numFmtId="14" fontId="23" fillId="0" borderId="0" xfId="0" applyNumberFormat="1" applyFont="1" applyBorder="1" applyAlignment="1">
      <alignment horizontal="right" vertical="top"/>
    </xf>
    <xf numFmtId="14" fontId="27" fillId="0" borderId="0" xfId="0" applyNumberFormat="1" applyFont="1" applyBorder="1" applyAlignment="1">
      <alignment horizontal="right" vertical="top"/>
    </xf>
    <xf numFmtId="14" fontId="0" fillId="0" borderId="0" xfId="3" applyNumberFormat="1" applyFont="1" applyAlignment="1">
      <alignment vertical="center" wrapText="1"/>
    </xf>
    <xf numFmtId="0" fontId="0" fillId="0" borderId="0" xfId="0" applyAlignment="1">
      <alignment horizontal="left" vertical="top" wrapText="1"/>
    </xf>
    <xf numFmtId="40" fontId="28" fillId="0" borderId="6" xfId="0" applyNumberFormat="1" applyFont="1" applyFill="1" applyBorder="1" applyAlignment="1">
      <alignment horizontal="right" vertical="center"/>
    </xf>
    <xf numFmtId="40" fontId="21" fillId="0" borderId="1" xfId="0" applyNumberFormat="1" applyFont="1" applyFill="1" applyBorder="1" applyAlignment="1">
      <alignment horizontal="right" vertical="center"/>
    </xf>
    <xf numFmtId="40" fontId="28" fillId="5" borderId="6" xfId="0" applyNumberFormat="1" applyFont="1" applyFill="1" applyBorder="1" applyAlignment="1">
      <alignment horizontal="right" vertical="center"/>
    </xf>
    <xf numFmtId="40" fontId="21" fillId="5" borderId="1" xfId="0" applyNumberFormat="1" applyFont="1" applyFill="1" applyBorder="1" applyAlignment="1">
      <alignment horizontal="right" vertical="center"/>
    </xf>
    <xf numFmtId="40" fontId="21" fillId="0" borderId="1" xfId="0" applyNumberFormat="1" applyFont="1" applyFill="1" applyBorder="1" applyAlignment="1">
      <alignment horizontal="right" vertical="top"/>
    </xf>
    <xf numFmtId="40" fontId="21" fillId="5" borderId="1" xfId="0" applyNumberFormat="1" applyFont="1" applyFill="1" applyBorder="1" applyAlignment="1">
      <alignment vertical="top"/>
    </xf>
    <xf numFmtId="40" fontId="28" fillId="0" borderId="1" xfId="3" applyNumberFormat="1" applyFont="1" applyBorder="1" applyAlignment="1">
      <alignment horizontal="right" vertical="top"/>
    </xf>
    <xf numFmtId="40" fontId="21" fillId="0" borderId="5" xfId="0" applyNumberFormat="1" applyFont="1" applyBorder="1" applyAlignment="1">
      <alignment horizontal="right" vertical="top"/>
    </xf>
    <xf numFmtId="40" fontId="21" fillId="0" borderId="0" xfId="0" applyNumberFormat="1" applyFont="1" applyBorder="1" applyAlignment="1">
      <alignment vertical="top"/>
    </xf>
    <xf numFmtId="40" fontId="21" fillId="0" borderId="1" xfId="0" applyNumberFormat="1" applyFont="1" applyBorder="1" applyAlignment="1">
      <alignment vertical="top"/>
    </xf>
    <xf numFmtId="0" fontId="21" fillId="0" borderId="0" xfId="0" applyFont="1" applyBorder="1" applyAlignment="1">
      <alignment vertical="top"/>
    </xf>
    <xf numFmtId="43" fontId="28" fillId="0" borderId="1" xfId="3" applyFont="1" applyBorder="1" applyAlignment="1">
      <alignment horizontal="right" vertical="top"/>
    </xf>
    <xf numFmtId="43" fontId="2" fillId="0" borderId="0" xfId="3" applyFont="1" applyAlignment="1">
      <alignment horizontal="left" vertical="top" wrapText="1"/>
    </xf>
    <xf numFmtId="43" fontId="4" fillId="0" borderId="0" xfId="3" applyFont="1" applyBorder="1" applyAlignment="1">
      <alignment horizontal="left" vertical="top" wrapText="1"/>
    </xf>
    <xf numFmtId="0" fontId="0" fillId="0" borderId="0" xfId="0" applyBorder="1" applyAlignment="1">
      <alignment wrapText="1"/>
    </xf>
    <xf numFmtId="43" fontId="0" fillId="0" borderId="8" xfId="3" applyFont="1" applyBorder="1" applyAlignment="1">
      <alignment wrapText="1"/>
    </xf>
    <xf numFmtId="43" fontId="0" fillId="0" borderId="5" xfId="3" applyFont="1" applyBorder="1" applyAlignment="1">
      <alignment wrapText="1"/>
    </xf>
    <xf numFmtId="43" fontId="0" fillId="0" borderId="9" xfId="3" applyFont="1" applyBorder="1" applyAlignment="1">
      <alignment wrapText="1"/>
    </xf>
    <xf numFmtId="43" fontId="13" fillId="0" borderId="1" xfId="3" applyFont="1" applyBorder="1" applyAlignment="1">
      <alignment wrapText="1"/>
    </xf>
    <xf numFmtId="43" fontId="13" fillId="0" borderId="5" xfId="3" applyFont="1" applyBorder="1" applyAlignment="1">
      <alignment wrapText="1"/>
    </xf>
    <xf numFmtId="43" fontId="13" fillId="0" borderId="9" xfId="3" applyFont="1" applyBorder="1" applyAlignment="1">
      <alignment wrapText="1"/>
    </xf>
    <xf numFmtId="43" fontId="13" fillId="0" borderId="0" xfId="3" applyFont="1" applyBorder="1" applyAlignment="1">
      <alignment wrapText="1"/>
    </xf>
    <xf numFmtId="43" fontId="13" fillId="0" borderId="11" xfId="3" applyFont="1" applyBorder="1" applyAlignment="1">
      <alignment wrapText="1"/>
    </xf>
    <xf numFmtId="43" fontId="13" fillId="0" borderId="6" xfId="3" applyFont="1" applyBorder="1" applyAlignment="1">
      <alignment wrapText="1"/>
    </xf>
    <xf numFmtId="43" fontId="13" fillId="0" borderId="7" xfId="3" applyFont="1" applyBorder="1" applyAlignment="1">
      <alignment wrapText="1"/>
    </xf>
    <xf numFmtId="43" fontId="0" fillId="0" borderId="1" xfId="3" applyFont="1" applyBorder="1" applyAlignment="1">
      <alignment wrapText="1"/>
    </xf>
    <xf numFmtId="43" fontId="34" fillId="0" borderId="23" xfId="3" applyFont="1" applyBorder="1" applyAlignment="1">
      <alignment wrapText="1"/>
    </xf>
    <xf numFmtId="43" fontId="34" fillId="0" borderId="20" xfId="3" applyFont="1" applyBorder="1" applyAlignment="1">
      <alignment wrapText="1"/>
    </xf>
    <xf numFmtId="43" fontId="34" fillId="0" borderId="22" xfId="3" applyFont="1" applyBorder="1" applyAlignment="1">
      <alignment wrapText="1"/>
    </xf>
    <xf numFmtId="43" fontId="34" fillId="0" borderId="1" xfId="3" applyFont="1" applyBorder="1" applyAlignment="1">
      <alignment wrapText="1"/>
    </xf>
    <xf numFmtId="43" fontId="35" fillId="0" borderId="1" xfId="3" applyFont="1" applyBorder="1" applyAlignment="1">
      <alignment wrapText="1"/>
    </xf>
    <xf numFmtId="43" fontId="13" fillId="0" borderId="8" xfId="3" applyFont="1" applyBorder="1" applyAlignment="1">
      <alignment wrapText="1"/>
    </xf>
    <xf numFmtId="43" fontId="0" fillId="0" borderId="10" xfId="3" applyFont="1" applyBorder="1" applyAlignment="1">
      <alignment wrapText="1"/>
    </xf>
    <xf numFmtId="43" fontId="0" fillId="0" borderId="2" xfId="3" applyFont="1" applyBorder="1" applyAlignment="1">
      <alignment wrapText="1"/>
    </xf>
    <xf numFmtId="43" fontId="33" fillId="0" borderId="1" xfId="3" applyFont="1" applyBorder="1" applyAlignment="1">
      <alignment wrapText="1"/>
    </xf>
    <xf numFmtId="40" fontId="36" fillId="0" borderId="1" xfId="3" applyNumberFormat="1" applyFont="1" applyBorder="1" applyAlignment="1">
      <alignment horizontal="right" vertical="top"/>
    </xf>
    <xf numFmtId="14" fontId="37" fillId="0" borderId="10" xfId="0" applyNumberFormat="1" applyFont="1" applyBorder="1" applyAlignment="1">
      <alignment vertical="top" wrapText="1"/>
    </xf>
    <xf numFmtId="14" fontId="37" fillId="0" borderId="1" xfId="0" applyNumberFormat="1" applyFont="1" applyBorder="1" applyAlignment="1">
      <alignment vertical="top" wrapText="1"/>
    </xf>
    <xf numFmtId="14" fontId="37" fillId="0" borderId="1" xfId="0" applyNumberFormat="1" applyFont="1" applyBorder="1" applyAlignment="1">
      <alignment horizontal="center" vertical="top" wrapText="1"/>
    </xf>
    <xf numFmtId="43" fontId="37" fillId="0" borderId="2" xfId="0" applyNumberFormat="1" applyFont="1" applyBorder="1" applyAlignment="1">
      <alignment vertical="top"/>
    </xf>
    <xf numFmtId="40" fontId="21" fillId="0" borderId="1" xfId="0" applyNumberFormat="1" applyFont="1" applyBorder="1" applyAlignment="1">
      <alignment horizontal="right" vertical="top"/>
    </xf>
    <xf numFmtId="40" fontId="39" fillId="0" borderId="6" xfId="3" applyNumberFormat="1" applyFont="1" applyBorder="1" applyAlignment="1">
      <alignment horizontal="right" vertical="top"/>
    </xf>
    <xf numFmtId="40" fontId="39" fillId="0" borderId="1" xfId="0" applyNumberFormat="1" applyFont="1" applyBorder="1" applyAlignment="1">
      <alignment horizontal="left" vertical="top" wrapText="1"/>
    </xf>
    <xf numFmtId="40" fontId="39" fillId="0" borderId="6" xfId="0" applyNumberFormat="1" applyFont="1" applyBorder="1" applyAlignment="1">
      <alignment horizontal="left" vertical="top" wrapText="1"/>
    </xf>
    <xf numFmtId="40" fontId="39" fillId="0" borderId="1" xfId="0" applyNumberFormat="1" applyFont="1" applyBorder="1" applyAlignment="1">
      <alignment horizontal="center" vertical="top" wrapText="1"/>
    </xf>
    <xf numFmtId="40" fontId="39" fillId="0" borderId="6" xfId="0" applyNumberFormat="1" applyFont="1" applyBorder="1" applyAlignment="1">
      <alignment horizontal="center" vertical="top" wrapText="1"/>
    </xf>
    <xf numFmtId="14" fontId="38" fillId="0" borderId="1" xfId="0" applyNumberFormat="1" applyFont="1" applyBorder="1" applyAlignment="1">
      <alignment horizontal="right"/>
    </xf>
    <xf numFmtId="14" fontId="38" fillId="0" borderId="6" xfId="0" applyNumberFormat="1" applyFont="1" applyBorder="1" applyAlignment="1">
      <alignment horizontal="right"/>
    </xf>
    <xf numFmtId="40" fontId="39" fillId="0" borderId="1" xfId="3" applyNumberFormat="1" applyFont="1" applyBorder="1" applyAlignment="1">
      <alignment horizontal="right" vertical="top"/>
    </xf>
    <xf numFmtId="43" fontId="39" fillId="0" borderId="1" xfId="3" applyFont="1" applyBorder="1" applyAlignment="1">
      <alignment horizontal="right" vertical="top"/>
    </xf>
    <xf numFmtId="40" fontId="28" fillId="0" borderId="6" xfId="0" applyNumberFormat="1" applyFont="1" applyBorder="1" applyAlignment="1">
      <alignment horizontal="left" vertical="top" wrapText="1"/>
    </xf>
    <xf numFmtId="40" fontId="28" fillId="0" borderId="6" xfId="0" applyNumberFormat="1" applyFont="1" applyBorder="1" applyAlignment="1">
      <alignment horizontal="center" vertical="top" wrapText="1"/>
    </xf>
    <xf numFmtId="14" fontId="21" fillId="0" borderId="6" xfId="0" applyNumberFormat="1" applyFont="1" applyBorder="1" applyAlignment="1">
      <alignment horizontal="right"/>
    </xf>
    <xf numFmtId="40" fontId="28" fillId="0" borderId="6" xfId="3" applyNumberFormat="1" applyFont="1" applyBorder="1" applyAlignment="1">
      <alignment horizontal="right" vertical="top"/>
    </xf>
    <xf numFmtId="40" fontId="40" fillId="0" borderId="1" xfId="0" applyNumberFormat="1" applyFont="1" applyBorder="1" applyAlignment="1">
      <alignment horizontal="left" vertical="top" wrapText="1"/>
    </xf>
    <xf numFmtId="40" fontId="40" fillId="0" borderId="6" xfId="0" applyNumberFormat="1" applyFont="1" applyBorder="1" applyAlignment="1">
      <alignment horizontal="left" vertical="top" wrapText="1"/>
    </xf>
    <xf numFmtId="40" fontId="40" fillId="0" borderId="1" xfId="0" applyNumberFormat="1" applyFont="1" applyBorder="1" applyAlignment="1">
      <alignment horizontal="center" vertical="top" wrapText="1"/>
    </xf>
    <xf numFmtId="40" fontId="40" fillId="0" borderId="6" xfId="0" applyNumberFormat="1" applyFont="1" applyBorder="1" applyAlignment="1">
      <alignment horizontal="center" vertical="top" wrapText="1"/>
    </xf>
    <xf numFmtId="14" fontId="41" fillId="0" borderId="1" xfId="0" applyNumberFormat="1" applyFont="1" applyBorder="1" applyAlignment="1">
      <alignment horizontal="right"/>
    </xf>
    <xf numFmtId="14" fontId="41" fillId="0" borderId="6" xfId="0" applyNumberFormat="1" applyFont="1" applyBorder="1" applyAlignment="1">
      <alignment horizontal="right"/>
    </xf>
    <xf numFmtId="40" fontId="40" fillId="0" borderId="1" xfId="3" applyNumberFormat="1" applyFont="1" applyBorder="1" applyAlignment="1">
      <alignment horizontal="right" vertical="top"/>
    </xf>
    <xf numFmtId="40" fontId="40" fillId="0" borderId="6" xfId="3" applyNumberFormat="1" applyFont="1" applyBorder="1" applyAlignment="1">
      <alignment horizontal="right" vertical="top"/>
    </xf>
    <xf numFmtId="43" fontId="44" fillId="0" borderId="1" xfId="3" applyFont="1" applyBorder="1" applyAlignment="1">
      <alignment wrapText="1"/>
    </xf>
    <xf numFmtId="43" fontId="44" fillId="0" borderId="6" xfId="3" applyFont="1" applyBorder="1" applyAlignment="1">
      <alignment wrapText="1"/>
    </xf>
    <xf numFmtId="40" fontId="42" fillId="0" borderId="1" xfId="0" applyNumberFormat="1" applyFont="1" applyBorder="1" applyAlignment="1">
      <alignment horizontal="left" vertical="top" wrapText="1"/>
    </xf>
    <xf numFmtId="40" fontId="42" fillId="0" borderId="1" xfId="0" applyNumberFormat="1" applyFont="1" applyBorder="1" applyAlignment="1">
      <alignment horizontal="center" vertical="top" wrapText="1"/>
    </xf>
    <xf numFmtId="14" fontId="43" fillId="0" borderId="1" xfId="0" applyNumberFormat="1" applyFont="1" applyBorder="1" applyAlignment="1">
      <alignment horizontal="right"/>
    </xf>
    <xf numFmtId="40" fontId="42" fillId="0" borderId="1" xfId="3" applyNumberFormat="1" applyFont="1" applyBorder="1" applyAlignment="1">
      <alignment horizontal="right" vertical="top"/>
    </xf>
    <xf numFmtId="43" fontId="0" fillId="0" borderId="6" xfId="3" applyFont="1" applyBorder="1" applyAlignment="1">
      <alignment wrapText="1"/>
    </xf>
    <xf numFmtId="40" fontId="45" fillId="0" borderId="6" xfId="0" applyNumberFormat="1" applyFont="1" applyBorder="1" applyAlignment="1">
      <alignment horizontal="left" vertical="top" wrapText="1"/>
    </xf>
    <xf numFmtId="40" fontId="45" fillId="0" borderId="1" xfId="0" applyNumberFormat="1" applyFont="1" applyBorder="1" applyAlignment="1">
      <alignment horizontal="left" vertical="top" wrapText="1"/>
    </xf>
    <xf numFmtId="40" fontId="45" fillId="0" borderId="1" xfId="0" applyNumberFormat="1" applyFont="1" applyBorder="1" applyAlignment="1">
      <alignment horizontal="center" vertical="top" wrapText="1"/>
    </xf>
    <xf numFmtId="40" fontId="45" fillId="0" borderId="6" xfId="0" applyNumberFormat="1" applyFont="1" applyBorder="1" applyAlignment="1">
      <alignment horizontal="center" vertical="top" wrapText="1"/>
    </xf>
    <xf numFmtId="14" fontId="46" fillId="0" borderId="1" xfId="0" applyNumberFormat="1" applyFont="1" applyBorder="1" applyAlignment="1">
      <alignment horizontal="right"/>
    </xf>
    <xf numFmtId="14" fontId="46" fillId="0" borderId="6" xfId="0" applyNumberFormat="1" applyFont="1" applyBorder="1" applyAlignment="1">
      <alignment horizontal="right"/>
    </xf>
    <xf numFmtId="40" fontId="45" fillId="0" borderId="1" xfId="3" applyNumberFormat="1" applyFont="1" applyBorder="1" applyAlignment="1">
      <alignment horizontal="right" vertical="top"/>
    </xf>
    <xf numFmtId="40" fontId="45" fillId="0" borderId="6" xfId="3" applyNumberFormat="1" applyFont="1" applyBorder="1" applyAlignment="1">
      <alignment horizontal="right" vertical="top"/>
    </xf>
    <xf numFmtId="40" fontId="47" fillId="0" borderId="6" xfId="0" applyNumberFormat="1" applyFont="1" applyBorder="1" applyAlignment="1">
      <alignment horizontal="left" vertical="top" wrapText="1"/>
    </xf>
    <xf numFmtId="40" fontId="47" fillId="0" borderId="6" xfId="0" applyNumberFormat="1" applyFont="1" applyBorder="1" applyAlignment="1">
      <alignment horizontal="center" vertical="top" wrapText="1"/>
    </xf>
    <xf numFmtId="14" fontId="48" fillId="0" borderId="6" xfId="0" applyNumberFormat="1" applyFont="1" applyBorder="1" applyAlignment="1">
      <alignment horizontal="right"/>
    </xf>
    <xf numFmtId="40" fontId="47" fillId="0" borderId="6" xfId="3" applyNumberFormat="1" applyFont="1" applyBorder="1" applyAlignment="1">
      <alignment horizontal="right" vertical="top"/>
    </xf>
    <xf numFmtId="43" fontId="49" fillId="0" borderId="1" xfId="3" applyFont="1" applyBorder="1" applyAlignment="1">
      <alignment wrapText="1"/>
    </xf>
    <xf numFmtId="43" fontId="49" fillId="0" borderId="6" xfId="3" applyFont="1" applyBorder="1" applyAlignment="1">
      <alignment wrapText="1"/>
    </xf>
    <xf numFmtId="40" fontId="24" fillId="0" borderId="12" xfId="0" applyNumberFormat="1" applyFont="1" applyBorder="1" applyAlignment="1">
      <alignment horizontal="center" vertical="top" wrapText="1"/>
    </xf>
    <xf numFmtId="0" fontId="5" fillId="0" borderId="0" xfId="0" applyFont="1" applyAlignment="1">
      <alignment horizontal="left" vertical="top" wrapText="1"/>
    </xf>
    <xf numFmtId="0" fontId="29" fillId="0" borderId="0" xfId="0" applyFont="1" applyAlignment="1">
      <alignment horizontal="left" vertical="top" wrapText="1"/>
    </xf>
    <xf numFmtId="40" fontId="32" fillId="4" borderId="13" xfId="1" applyNumberFormat="1" applyFont="1" applyFill="1" applyBorder="1" applyAlignment="1">
      <alignment horizontal="center" vertical="center" wrapText="1"/>
    </xf>
    <xf numFmtId="40" fontId="32" fillId="4" borderId="14" xfId="1" applyNumberFormat="1" applyFont="1" applyFill="1" applyBorder="1" applyAlignment="1">
      <alignment horizontal="center" vertical="center" wrapText="1"/>
    </xf>
    <xf numFmtId="40" fontId="32" fillId="4" borderId="15" xfId="1" applyNumberFormat="1" applyFont="1" applyFill="1" applyBorder="1" applyAlignment="1">
      <alignment horizontal="center" vertical="center" wrapText="1"/>
    </xf>
    <xf numFmtId="0" fontId="14" fillId="0" borderId="0" xfId="0" applyFont="1" applyAlignment="1">
      <alignment horizontal="left" vertical="top" wrapText="1"/>
    </xf>
    <xf numFmtId="40" fontId="16" fillId="0" borderId="16" xfId="0" applyNumberFormat="1" applyFont="1" applyBorder="1" applyAlignment="1">
      <alignment horizontal="center" vertical="center" wrapText="1"/>
    </xf>
    <xf numFmtId="0" fontId="16" fillId="0" borderId="0" xfId="0" applyFont="1" applyAlignment="1">
      <alignment horizontal="left" vertical="top" wrapText="1"/>
    </xf>
    <xf numFmtId="14" fontId="16" fillId="0" borderId="7" xfId="0" applyNumberFormat="1" applyFont="1" applyBorder="1" applyAlignment="1">
      <alignment horizontal="center" vertical="top" wrapText="1"/>
    </xf>
    <xf numFmtId="14" fontId="16" fillId="0" borderId="16" xfId="0" applyNumberFormat="1" applyFont="1" applyBorder="1" applyAlignment="1">
      <alignment horizontal="center" vertical="top" wrapText="1"/>
    </xf>
    <xf numFmtId="14" fontId="16" fillId="0" borderId="11" xfId="0" applyNumberFormat="1" applyFont="1" applyBorder="1" applyAlignment="1">
      <alignment horizontal="center" vertical="top"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0" fillId="0" borderId="0" xfId="0"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xf>
    <xf numFmtId="0" fontId="6" fillId="0" borderId="0" xfId="0" applyFont="1" applyAlignment="1">
      <alignment horizontal="left" vertical="top" wrapText="1"/>
    </xf>
    <xf numFmtId="0" fontId="2" fillId="0" borderId="0" xfId="0" applyFont="1" applyAlignment="1">
      <alignment horizontal="left" vertical="top" wrapText="1"/>
    </xf>
    <xf numFmtId="0" fontId="9" fillId="3" borderId="0" xfId="2" applyFont="1" applyFill="1" applyBorder="1" applyAlignment="1">
      <alignment horizontal="left" vertical="top" wrapText="1"/>
    </xf>
    <xf numFmtId="0" fontId="9" fillId="0" borderId="0" xfId="2" applyFont="1" applyFill="1" applyBorder="1"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xf numFmtId="40" fontId="50" fillId="0" borderId="6" xfId="0" applyNumberFormat="1" applyFont="1" applyBorder="1" applyAlignment="1">
      <alignment horizontal="left" vertical="top" wrapText="1"/>
    </xf>
    <xf numFmtId="40" fontId="50" fillId="0" borderId="6" xfId="0" applyNumberFormat="1" applyFont="1" applyBorder="1" applyAlignment="1">
      <alignment horizontal="center" vertical="top" wrapText="1"/>
    </xf>
    <xf numFmtId="14" fontId="51" fillId="0" borderId="6" xfId="0" applyNumberFormat="1" applyFont="1" applyBorder="1" applyAlignment="1">
      <alignment horizontal="right"/>
    </xf>
    <xf numFmtId="40" fontId="50" fillId="0" borderId="6" xfId="3" applyNumberFormat="1" applyFont="1" applyBorder="1" applyAlignment="1">
      <alignment horizontal="right" vertical="top"/>
    </xf>
  </cellXfs>
  <cellStyles count="4">
    <cellStyle name="Comma" xfId="3" builtinId="3"/>
    <cellStyle name="Currency" xfId="1" builtinId="4"/>
    <cellStyle name="Normal" xfId="0" builtinId="0"/>
    <cellStyle name="Normal_Notes" xfId="2"/>
  </cellStyles>
  <dxfs count="105">
    <dxf>
      <font>
        <b val="0"/>
        <i val="0"/>
        <strike val="0"/>
        <condense val="0"/>
        <extend val="0"/>
        <outline val="0"/>
        <shadow val="0"/>
        <u val="none"/>
        <vertAlign val="baseline"/>
        <sz val="9"/>
        <color auto="1"/>
        <name val="Arial Unicode MS"/>
        <scheme val="none"/>
      </font>
      <numFmt numFmtId="35" formatCode="_(* #,##0.00_);_(* \(#,##0.00\);_(* &quot;-&quot;??_);_(@_)"/>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Arial Unicode MS"/>
        <scheme val="none"/>
      </font>
      <numFmt numFmtId="8" formatCode="#,##0.00_);[Red]\(#,##0.00\)"/>
      <alignment horizontal="right" vertical="top"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auto="1"/>
        <name val="Arial Unicode MS"/>
        <scheme val="none"/>
      </font>
      <numFmt numFmtId="8" formatCode="#,##0.00_);[Red]\(#,##0.00\)"/>
      <alignment horizontal="right" vertical="top"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auto="1"/>
        <name val="Arial Unicode MS"/>
        <scheme val="none"/>
      </font>
      <numFmt numFmtId="8" formatCode="#,##0.00_);[Red]\(#,##0.00\)"/>
      <alignment horizontal="right" vertical="top"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auto="1"/>
        <name val="Arial Unicode MS"/>
        <scheme val="none"/>
      </font>
      <numFmt numFmtId="8" formatCode="#,##0.00_);[Red]\(#,##0.00\)"/>
      <alignment horizontal="right" vertical="top"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theme="1"/>
        <name val="Arial Unicode MS"/>
        <scheme val="none"/>
      </font>
      <numFmt numFmtId="19" formatCode="m/d/yyyy"/>
      <alignment horizontal="right" vertical="bottom"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theme="1"/>
        <name val="Arial Unicode MS"/>
        <scheme val="none"/>
      </font>
      <numFmt numFmtId="19" formatCode="m/d/yyyy"/>
      <alignment horizontal="right" vertical="bottom"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theme="1"/>
        <name val="Arial Unicode MS"/>
        <scheme val="none"/>
      </font>
      <numFmt numFmtId="19" formatCode="m/d/yyyy"/>
      <alignment horizontal="right" vertical="bottom"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theme="1"/>
        <name val="Arial Unicode MS"/>
        <scheme val="none"/>
      </font>
      <numFmt numFmtId="19" formatCode="m/d/yyyy"/>
      <alignment horizontal="right" vertical="bottom"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name val="Arial Unicode MS"/>
        <scheme val="none"/>
      </font>
      <numFmt numFmtId="35" formatCode="_(* #,##0.00_);_(* \(#,##0.00\);_(* &quot;-&quot;??_);_(@_)"/>
      <alignment horizontal="general" vertical="top" textRotation="0" wrapText="0" indent="0" justifyLastLine="0" shrinkToFit="0" readingOrder="0"/>
      <border diagonalUp="0" diagonalDown="0">
        <left style="thin">
          <color indexed="64"/>
        </left>
        <right/>
        <top style="thin">
          <color indexed="64"/>
        </top>
        <bottom style="thin">
          <color indexed="64"/>
        </bottom>
        <vertical/>
        <horizontal/>
      </border>
    </dxf>
    <dxf>
      <font>
        <strike val="0"/>
        <outline val="0"/>
        <shadow val="0"/>
        <u val="none"/>
        <vertAlign val="baseline"/>
        <sz val="9"/>
        <color auto="1"/>
        <name val="Arial Unicode MS"/>
        <scheme val="none"/>
      </font>
      <numFmt numFmtId="8" formatCode="#,##0.00_);[Red]\(#,##0.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9"/>
        <name val="Arial Unicode MS"/>
        <scheme val="none"/>
      </font>
      <numFmt numFmtId="19" formatCode="m/d/yyyy"/>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9"/>
        <name val="Arial Unicode MS"/>
        <scheme val="none"/>
      </font>
      <numFmt numFmtId="19" formatCode="m/d/yyyy"/>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9"/>
        <name val="Arial Unicode MS"/>
        <scheme val="none"/>
      </font>
      <numFmt numFmtId="19" formatCode="m/d/yyyy"/>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9"/>
        <name val="Arial Unicode MS"/>
        <scheme val="none"/>
      </font>
      <numFmt numFmtId="19" formatCode="m/d/yyyy"/>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9"/>
        <name val="Arial Unicode MS"/>
        <scheme val="none"/>
      </font>
      <numFmt numFmtId="19" formatCode="m/d/yyyy"/>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9"/>
        <name val="Arial Unicode MS"/>
        <scheme val="none"/>
      </font>
      <numFmt numFmtId="19" formatCode="m/d/yyyy"/>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9"/>
        <name val="Arial Unicode MS"/>
        <scheme val="none"/>
      </font>
      <numFmt numFmtId="19" formatCode="m/d/yyyy"/>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9"/>
        <name val="Arial Unicode MS"/>
        <scheme val="none"/>
      </font>
      <numFmt numFmtId="19" formatCode="m/d/yyyy"/>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9"/>
        <name val="Arial Unicode MS"/>
        <scheme val="none"/>
      </font>
      <numFmt numFmtId="19" formatCode="m/d/yyyy"/>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9"/>
        <name val="Arial Unicode MS"/>
        <scheme val="none"/>
      </font>
      <numFmt numFmtId="19" formatCode="m/d/yyyy"/>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9"/>
        <name val="Arial Unicode MS"/>
        <scheme val="none"/>
      </font>
      <numFmt numFmtId="19" formatCode="m/d/yyyy"/>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9"/>
        <name val="Arial Unicode MS"/>
        <scheme val="none"/>
      </font>
      <numFmt numFmtId="19" formatCode="m/d/yyyy"/>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9"/>
        <name val="Arial Unicode MS"/>
        <scheme val="none"/>
      </font>
      <numFmt numFmtId="19" formatCode="m/d/yyyy"/>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alignment textRotation="0" wrapText="1" indent="0" justifyLastLine="0" shrinkToFit="0" readingOrder="0"/>
    </dxf>
    <dxf>
      <font>
        <b val="0"/>
        <i val="0"/>
        <strike val="0"/>
        <condense val="0"/>
        <extend val="0"/>
        <outline val="0"/>
        <shadow val="0"/>
        <u val="none"/>
        <vertAlign val="baseline"/>
        <sz val="11"/>
        <color theme="1"/>
        <name val="Calibri"/>
        <scheme val="minor"/>
      </font>
      <alignment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alignment textRotation="0" wrapText="1" indent="0" justifyLastLine="0" shrinkToFit="0" readingOrder="0"/>
    </dxf>
    <dxf>
      <alignment textRotation="0" wrapText="1" indent="0" justifyLastLine="0" shrinkToFit="0" readingOrder="0"/>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9"/>
        <name val="Arial Unicode MS"/>
        <scheme val="none"/>
      </font>
      <numFmt numFmtId="164" formatCode="mm/dd/yyyy"/>
      <alignment horizontal="general" vertical="top" textRotation="0" wrapText="1" indent="0" justifyLastLine="0" shrinkToFit="0" readingOrder="0"/>
    </dxf>
    <dxf>
      <border>
        <bottom style="thin">
          <color indexed="64"/>
        </bottom>
      </border>
    </dxf>
    <dxf>
      <font>
        <strike val="0"/>
        <outline val="0"/>
        <shadow val="0"/>
        <u val="none"/>
        <vertAlign val="baseline"/>
        <sz val="9"/>
        <name val="Arial Unicode MS"/>
        <scheme val="none"/>
      </font>
      <numFmt numFmtId="164" formatCode="mm/dd/yyyy"/>
      <alignment horizontal="general"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9"/>
        <name val="Arial Unicode MS"/>
        <scheme val="none"/>
      </font>
      <alignment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strike val="0"/>
        <outline val="0"/>
        <shadow val="0"/>
        <u val="none"/>
        <vertAlign val="baseline"/>
        <sz val="9"/>
        <name val="Arial Unicode MS"/>
        <scheme val="none"/>
      </font>
      <numFmt numFmtId="164" formatCode="mm/dd/yyyy"/>
      <alignment horizontal="left"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DDD9C4"/>
        </patternFill>
      </fill>
    </dxf>
    <dxf>
      <font>
        <b/>
        <i val="0"/>
      </font>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04"/>
      <tableStyleElement type="firstRowStripe" dxfId="103"/>
    </tableStyle>
    <tableStyle name="Table Style 2" pivot="0" count="1">
      <tableStyleElement type="firstRowStripe" dxfId="102"/>
    </tableStyle>
    <tableStyle name="Table Style 3" pivot="0" count="1">
      <tableStyleElement type="firstRowStripe" dxfId="101"/>
    </tableStyle>
    <tableStyle name="Table Style 4" pivot="0" count="2">
      <tableStyleElement type="headerRow" dxfId="100"/>
      <tableStyleElement type="firstRowStripe" dxfId="99"/>
    </tableStyle>
  </tableStyles>
  <colors>
    <mruColors>
      <color rgb="FFDDD9C4"/>
      <color rgb="FFA2B9E2"/>
      <color rgb="FFF4AF80"/>
      <color rgb="FFCFB8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_1" adjustColumnWidth="0" connectionId="1" autoFormatId="16" applyNumberFormats="0" applyBorderFormats="0" applyFontFormats="0" applyPatternFormats="0" applyAlignmentFormats="0" applyWidthHeightFormats="0">
  <queryTableRefresh nextId="19" unboundColumnsRight="2">
    <queryTableFields count="18">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16" dataBound="0" tableColumnId="16"/>
      <queryTableField id="9" name="PB Expected" tableColumnId="9"/>
      <queryTableField id="10" name="PB Received" tableColumnId="10"/>
      <queryTableField id="11" name="PF Transmitted" tableColumnId="11"/>
      <queryTableField id="12" name="Finance Authorization" tableColumnId="12"/>
      <queryTableField id="13" name="HSIP" tableColumnId="13"/>
      <queryTableField id="14" name="SPR" tableColumnId="14"/>
      <queryTableField id="15" name="STP OTHER" tableColumnId="15"/>
      <queryTableField id="17" dataBound="0" tableColumnId="17"/>
      <queryTableField id="18" dataBound="0" tableColumnId="18"/>
    </queryTableFields>
  </queryTableRefresh>
</queryTable>
</file>

<file path=xl/queryTables/queryTable2.xml><?xml version="1.0" encoding="utf-8"?>
<queryTable xmlns="http://schemas.openxmlformats.org/spreadsheetml/2006/main" name="Query from MS Access Database_2" adjustColumnWidth="0" connectionId="4" autoFormatId="16" applyNumberFormats="0" applyBorderFormats="0" applyFontFormats="0" applyPatternFormats="0" applyAlignmentFormats="0" applyWidthHeightFormats="0">
  <queryTableRefresh nextId="19" unboundColumnsRight="2">
    <queryTableFields count="18">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16" dataBound="0" tableColumnId="16"/>
      <queryTableField id="9" name="PB Expected" tableColumnId="9"/>
      <queryTableField id="10" name="PB Received" tableColumnId="10"/>
      <queryTableField id="11" name="PF Transmitted" tableColumnId="11"/>
      <queryTableField id="12" name="Finance Authorization" tableColumnId="12"/>
      <queryTableField id="13" name="HSIP" tableColumnId="13"/>
      <queryTableField id="14" name="SPR" tableColumnId="14"/>
      <queryTableField id="15" name="STP OTHER" tableColumnId="15"/>
      <queryTableField id="17" dataBound="0" tableColumnId="17"/>
      <queryTableField id="18" dataBound="0" tableColumnId="18"/>
    </queryTableFields>
  </queryTableRefresh>
</queryTable>
</file>

<file path=xl/queryTables/queryTable3.xml><?xml version="1.0" encoding="utf-8"?>
<queryTable xmlns="http://schemas.openxmlformats.org/spreadsheetml/2006/main" name="Query from MS Access Database" connectionId="2" autoFormatId="16" applyNumberFormats="0" applyBorderFormats="0" applyFontFormats="0" applyPatternFormats="0" applyAlignmentFormats="0" applyWidthHeightFormats="0">
  <queryTableRefresh nextId="23">
    <queryTableFields count="18">
      <queryTableField id="1" name="Transaction Year" tableColumnId="1"/>
      <queryTableField id="2" name="Transaction Type" tableColumnId="2"/>
      <queryTableField id="3" name="Number" tableColumnId="3"/>
      <queryTableField id="6" name="Repayment Year" tableColumnId="6"/>
      <queryTableField id="9" name="Total" tableColumnId="9"/>
      <queryTableField id="10" name="CMAQ" tableColumnId="10"/>
      <queryTableField id="11" name="CMAQ 2_5" tableColumnId="11"/>
      <queryTableField id="12" name="HSIP" tableColumnId="12"/>
      <queryTableField id="13" name="PL" tableColumnId="13"/>
      <queryTableField id="14" name="SPR" tableColumnId="14"/>
      <queryTableField id="15" name="STP other" tableColumnId="15"/>
      <queryTableField id="16" name="STP over 200K" tableColumnId="16"/>
      <queryTableField id="17" name="TA other" tableColumnId="17"/>
      <queryTableField id="18" name="TA over 200K" tableColumnId="18"/>
      <queryTableField id="19" name="From" tableColumnId="4"/>
      <queryTableField id="20" name="TO" tableColumnId="5"/>
      <queryTableField id="21" name="PROJECT8" tableColumnId="7"/>
      <queryTableField id="22" name="NOTES" tableColumnId="8"/>
    </queryTableFields>
  </queryTableRefresh>
</queryTable>
</file>

<file path=xl/queryTables/queryTable4.xml><?xml version="1.0" encoding="utf-8"?>
<queryTable xmlns="http://schemas.openxmlformats.org/spreadsheetml/2006/main" name="Query from MS Access Database_1" connectionId="3" autoFormatId="16" applyNumberFormats="0" applyBorderFormats="0" applyFontFormats="0" applyPatternFormats="0" applyAlignmentFormats="0" applyWidthHeightFormats="0">
  <queryTableRefresh nextId="27">
    <queryTableFields count="18">
      <queryTableField id="1" name="Transaction Year" tableColumnId="1"/>
      <queryTableField id="2" name="Transaction Type" tableColumnId="2"/>
      <queryTableField id="3" name="Number" tableColumnId="3"/>
      <queryTableField id="6" name="Repayment Year" tableColumnId="6"/>
      <queryTableField id="9" name="Total" tableColumnId="9"/>
      <queryTableField id="10" name="CMAQ" tableColumnId="10"/>
      <queryTableField id="11" name="CMAQ 2_5" tableColumnId="11"/>
      <queryTableField id="12" name="HSIP" tableColumnId="12"/>
      <queryTableField id="13" name="PL" tableColumnId="13"/>
      <queryTableField id="14" name="SPR" tableColumnId="14"/>
      <queryTableField id="15" name="STP other" tableColumnId="15"/>
      <queryTableField id="16" name="STP over 200K" tableColumnId="16"/>
      <queryTableField id="17" name="TA other" tableColumnId="17"/>
      <queryTableField id="18" name="TA over 200K" tableColumnId="18"/>
      <queryTableField id="23" name="FROM" tableColumnId="23"/>
      <queryTableField id="24" name="TO" tableColumnId="24"/>
      <queryTableField id="25" name="PROJECT8" tableColumnId="25"/>
      <queryTableField id="26" name="NOTES" tableColumnId="26"/>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R12" totalsRowShown="0" headerRowDxfId="98" dataDxfId="96" headerRowBorderDxfId="97" tableBorderDxfId="95" totalsRowBorderDxfId="94" headerRowCellStyle="Currency">
  <autoFilter ref="M3:R12"/>
  <tableColumns count="6">
    <tableColumn id="1" name="Description" dataDxfId="93"/>
    <tableColumn id="4" name="HSIP/3" dataDxfId="92"/>
    <tableColumn id="5" name="SPR /4" dataDxfId="91"/>
    <tableColumn id="6" name="STP other" dataDxfId="90"/>
    <tableColumn id="7" name="Total" dataDxfId="89"/>
    <tableColumn id="8" name="FFY OBLIGATION AUTHORITY /2" dataDxfId="88"/>
  </tableColumns>
  <tableStyleInfo name="Table Style 4" showFirstColumn="0" showLastColumn="0" showRowStripes="1" showColumnStripes="0"/>
</table>
</file>

<file path=xl/tables/table2.xml><?xml version="1.0" encoding="utf-8"?>
<table xmlns="http://schemas.openxmlformats.org/spreadsheetml/2006/main" id="2" name="Table_Query_from_MS_Access_Database_1" displayName="Table_Query_from_MS_Access_Database_1" ref="A15:R32" tableType="queryTable" totalsRowShown="0" headerRowDxfId="87" dataDxfId="85" headerRowBorderDxfId="86" tableBorderDxfId="84" totalsRowBorderDxfId="83">
  <autoFilter ref="A15:R32"/>
  <tableColumns count="18">
    <tableColumn id="1" uniqueName="1" name="ADOT#" queryTableFieldId="1" dataDxfId="53"/>
    <tableColumn id="2" uniqueName="2" name="TIP#" queryTableFieldId="2" dataDxfId="52"/>
    <tableColumn id="3" uniqueName="3" name="Sponsor" queryTableFieldId="3" dataDxfId="51"/>
    <tableColumn id="4" uniqueName="4" name="Action/15" queryTableFieldId="4" dataDxfId="50"/>
    <tableColumn id="5" uniqueName="5" name="Location" queryTableFieldId="5" dataDxfId="49"/>
    <tableColumn id="6" uniqueName="6" name="RTE" queryTableFieldId="6" dataDxfId="48"/>
    <tableColumn id="7" uniqueName="7" name="SEC" queryTableFieldId="7" dataDxfId="47"/>
    <tableColumn id="8" uniqueName="8" name="SEQ" queryTableFieldId="8" dataDxfId="46"/>
    <tableColumn id="16" uniqueName="16" name="FED #" queryTableFieldId="16" dataDxfId="45">
      <calculatedColumnFormula>CONCATENATE(Table_Query_from_MS_Access_Database_1[[#This Row],[RTE]],Table_Query_from_MS_Access_Database_1[[#This Row],[SEC]],Table_Query_from_MS_Access_Database_1[[#This Row],[SEQ]])</calculatedColumnFormula>
    </tableColumn>
    <tableColumn id="9" uniqueName="9" name="PB Expected" queryTableFieldId="9" dataDxfId="44"/>
    <tableColumn id="10" uniqueName="10" name="PB Received" queryTableFieldId="10" dataDxfId="43"/>
    <tableColumn id="11" uniqueName="11" name="PF Transmitted" queryTableFieldId="11" dataDxfId="42"/>
    <tableColumn id="12" uniqueName="12" name="Finance Authorization" queryTableFieldId="12" dataDxfId="41"/>
    <tableColumn id="13" uniqueName="13" name="HSIP" queryTableFieldId="13" dataDxfId="40" dataCellStyle="Comma"/>
    <tableColumn id="14" uniqueName="14" name="SPR" queryTableFieldId="14" dataDxfId="39" dataCellStyle="Comma"/>
    <tableColumn id="15" uniqueName="15" name="STP OTHER" queryTableFieldId="15" dataDxfId="38" dataCellStyle="Comma"/>
    <tableColumn id="17" uniqueName="17" name="TOTAL OF  AMOUNT" queryTableFieldId="17" dataDxfId="37" dataCellStyle="Comma">
      <calculatedColumnFormula>+SUM(Table_Query_from_MS_Access_Database_1[[#This Row],[HSIP]:[STP OTHER]])</calculatedColumnFormula>
    </tableColumn>
    <tableColumn id="18" uniqueName="18" name="DECLINING BALANCE OA" queryTableFieldId="18" dataDxfId="0" dataCellStyle="Comma">
      <calculatedColumnFormula>R12-Table_Query_from_MS_Access_Database_1[TOTAL OF  AMOUNT]</calculatedColumnFormula>
    </tableColumn>
  </tableColumns>
  <tableStyleInfo name="Table Style 4" showFirstColumn="0" showLastColumn="0" showRowStripes="1" showColumnStripes="0"/>
</table>
</file>

<file path=xl/tables/table3.xml><?xml version="1.0" encoding="utf-8"?>
<table xmlns="http://schemas.openxmlformats.org/spreadsheetml/2006/main" id="6" name="Table_Query_from_MS_Access_Database_2" displayName="Table_Query_from_MS_Access_Database_2" ref="A37:R38" tableType="queryTable" totalsRowShown="0" headerRowDxfId="82" dataDxfId="80" headerRowBorderDxfId="81" tableBorderDxfId="79" totalsRowBorderDxfId="78">
  <autoFilter ref="A37:R38"/>
  <sortState ref="A37:R37">
    <sortCondition ref="J21:J24"/>
  </sortState>
  <tableColumns count="18">
    <tableColumn id="1" uniqueName="1" name="ADOT#" queryTableFieldId="1" dataDxfId="71"/>
    <tableColumn id="2" uniqueName="2" name="TIP#" queryTableFieldId="2" dataDxfId="70"/>
    <tableColumn id="3" uniqueName="3" name="Sponsor" queryTableFieldId="3" dataDxfId="69"/>
    <tableColumn id="4" uniqueName="4" name="Action/15" queryTableFieldId="4" dataDxfId="68"/>
    <tableColumn id="5" uniqueName="5" name="Location" queryTableFieldId="5" dataDxfId="67"/>
    <tableColumn id="6" uniqueName="6" name="RTE" queryTableFieldId="6" dataDxfId="66"/>
    <tableColumn id="7" uniqueName="7" name="SEC" queryTableFieldId="7" dataDxfId="65"/>
    <tableColumn id="8" uniqueName="8" name="SEQ" queryTableFieldId="8" dataDxfId="64"/>
    <tableColumn id="16" uniqueName="16" name="FED #" queryTableFieldId="16" dataDxfId="63">
      <calculatedColumnFormula>CONCATENATE(Table_Query_from_MS_Access_Database_2[RTE],Table_Query_from_MS_Access_Database_2[SEC],Table_Query_from_MS_Access_Database_2[SEQ])</calculatedColumnFormula>
    </tableColumn>
    <tableColumn id="9" uniqueName="9" name="PB Expected" queryTableFieldId="9" dataDxfId="62"/>
    <tableColumn id="10" uniqueName="10" name="PB Received" queryTableFieldId="10" dataDxfId="61"/>
    <tableColumn id="11" uniqueName="11" name="PF Transmitted" queryTableFieldId="11" dataDxfId="60"/>
    <tableColumn id="12" uniqueName="12" name="Finance Authorization" queryTableFieldId="12" dataDxfId="59"/>
    <tableColumn id="13" uniqueName="13" name="HSIP" queryTableFieldId="13" dataDxfId="58"/>
    <tableColumn id="14" uniqueName="14" name="SPR" queryTableFieldId="14" dataDxfId="57"/>
    <tableColumn id="15" uniqueName="15" name="STP OTHER" queryTableFieldId="15" dataDxfId="56"/>
    <tableColumn id="17" uniqueName="17" name="TOTAL OF AMOUNT" queryTableFieldId="17" dataDxfId="55" dataCellStyle="Comma">
      <calculatedColumnFormula>+SUM(Table_Query_from_MS_Access_Database_2[[#This Row],[HSIP]:[STP OTHER]])</calculatedColumnFormula>
    </tableColumn>
    <tableColumn id="18" uniqueName="18" name="EXPECTED DECLINING BALANCE OA" queryTableFieldId="18" dataDxfId="54">
      <calculatedColumnFormula>R32</calculatedColumnFormula>
    </tableColumn>
  </tableColumns>
  <tableStyleInfo name="Table Style 4" showFirstColumn="0" showLastColumn="0" showRowStripes="1" showColumnStripes="0"/>
</table>
</file>

<file path=xl/tables/table4.xml><?xml version="1.0" encoding="utf-8"?>
<table xmlns="http://schemas.openxmlformats.org/spreadsheetml/2006/main" id="4" name="Table_Query_from_MS_Access_Database" displayName="Table_Query_from_MS_Access_Database" ref="A11:R28" tableType="queryTable" totalsRowShown="0" headerRowDxfId="77" dataDxfId="76" tableBorderDxfId="75" headerRowCellStyle="Comma" dataCellStyle="Comma">
  <autoFilter ref="A11:R28"/>
  <tableColumns count="18">
    <tableColumn id="1" uniqueName="1" name="Transaction Year" queryTableFieldId="1" dataDxfId="18" dataCellStyle="Comma"/>
    <tableColumn id="2" uniqueName="2" name="Transaction Type" queryTableFieldId="2" dataDxfId="17" dataCellStyle="Comma"/>
    <tableColumn id="3" uniqueName="3" name="Number" queryTableFieldId="3" dataDxfId="16" dataCellStyle="Comma"/>
    <tableColumn id="6" uniqueName="6" name="Repayment Year" queryTableFieldId="6" dataDxfId="15" dataCellStyle="Comma"/>
    <tableColumn id="9" uniqueName="9" name="Total" queryTableFieldId="9" dataDxfId="14" dataCellStyle="Comma"/>
    <tableColumn id="10" uniqueName="10" name="CMAQ" queryTableFieldId="10" dataDxfId="13" dataCellStyle="Comma"/>
    <tableColumn id="11" uniqueName="11" name="CMAQ 2_5" queryTableFieldId="11" dataDxfId="12" dataCellStyle="Comma"/>
    <tableColumn id="12" uniqueName="12" name="HSIP" queryTableFieldId="12" dataDxfId="11" dataCellStyle="Comma"/>
    <tableColumn id="13" uniqueName="13" name="PL" queryTableFieldId="13" dataDxfId="10" dataCellStyle="Comma"/>
    <tableColumn id="14" uniqueName="14" name="SPR" queryTableFieldId="14" dataDxfId="9" dataCellStyle="Comma"/>
    <tableColumn id="15" uniqueName="15" name="STP other" queryTableFieldId="15" dataDxfId="8" dataCellStyle="Comma"/>
    <tableColumn id="16" uniqueName="16" name="STP over 200K" queryTableFieldId="16" dataDxfId="7" dataCellStyle="Comma"/>
    <tableColumn id="17" uniqueName="17" name="TA other" queryTableFieldId="17" dataDxfId="6" dataCellStyle="Comma"/>
    <tableColumn id="18" uniqueName="18" name="TA over 200K" queryTableFieldId="18" dataDxfId="5" dataCellStyle="Comma"/>
    <tableColumn id="4" uniqueName="4" name="From" queryTableFieldId="19" dataDxfId="4" dataCellStyle="Comma"/>
    <tableColumn id="5" uniqueName="5" name="To" queryTableFieldId="20" dataDxfId="3" dataCellStyle="Comma"/>
    <tableColumn id="7" uniqueName="7" name="Project8" queryTableFieldId="21" dataDxfId="2" dataCellStyle="Comma"/>
    <tableColumn id="8" uniqueName="8" name="Notes" queryTableFieldId="22" dataDxfId="1" dataCellStyle="Comma"/>
  </tableColumns>
  <tableStyleInfo name="Table Style 4" showFirstColumn="0" showLastColumn="0" showRowStripes="1" showColumnStripes="0"/>
</table>
</file>

<file path=xl/tables/table5.xml><?xml version="1.0" encoding="utf-8"?>
<table xmlns="http://schemas.openxmlformats.org/spreadsheetml/2006/main" id="5" name="Table_Query_from_MS_Access_Database_16" displayName="Table_Query_from_MS_Access_Database_16" ref="A35:R52" tableType="queryTable" totalsRowShown="0" headerRowDxfId="74" dataDxfId="73" tableBorderDxfId="72" headerRowCellStyle="Comma" dataCellStyle="Comma">
  <autoFilter ref="A35:R52"/>
  <tableColumns count="18">
    <tableColumn id="1" uniqueName="1" name="Transaction Year" queryTableFieldId="1" dataDxfId="36" dataCellStyle="Comma"/>
    <tableColumn id="2" uniqueName="2" name="Transaction Type" queryTableFieldId="2" dataDxfId="35" dataCellStyle="Comma"/>
    <tableColumn id="3" uniqueName="3" name="Number" queryTableFieldId="3" dataDxfId="34" dataCellStyle="Comma"/>
    <tableColumn id="6" uniqueName="6" name="Repayment Year" queryTableFieldId="6" dataDxfId="33" dataCellStyle="Comma"/>
    <tableColumn id="9" uniqueName="9" name="Total" queryTableFieldId="9" dataDxfId="32" dataCellStyle="Comma"/>
    <tableColumn id="10" uniqueName="10" name="CMAQ" queryTableFieldId="10" dataDxfId="31" dataCellStyle="Comma"/>
    <tableColumn id="11" uniqueName="11" name="CMAQ 2_5" queryTableFieldId="11" dataDxfId="30" dataCellStyle="Comma"/>
    <tableColumn id="12" uniqueName="12" name="HSIP" queryTableFieldId="12" dataDxfId="29" dataCellStyle="Comma"/>
    <tableColumn id="13" uniqueName="13" name="PL" queryTableFieldId="13" dataDxfId="28" dataCellStyle="Comma"/>
    <tableColumn id="14" uniqueName="14" name="SPR" queryTableFieldId="14" dataDxfId="27" dataCellStyle="Comma"/>
    <tableColumn id="15" uniqueName="15" name="STP other" queryTableFieldId="15" dataDxfId="26" dataCellStyle="Comma"/>
    <tableColumn id="16" uniqueName="16" name="STP over 200K" queryTableFieldId="16" dataDxfId="25" dataCellStyle="Comma"/>
    <tableColumn id="17" uniqueName="17" name="TA other" queryTableFieldId="17" dataDxfId="24" dataCellStyle="Comma"/>
    <tableColumn id="18" uniqueName="18" name="TA over 200K" queryTableFieldId="18" dataDxfId="23" dataCellStyle="Comma"/>
    <tableColumn id="23" uniqueName="23" name="From" queryTableFieldId="23" dataDxfId="22" dataCellStyle="Comma"/>
    <tableColumn id="24" uniqueName="24" name="TO" queryTableFieldId="24" dataDxfId="21" dataCellStyle="Comma"/>
    <tableColumn id="25" uniqueName="25" name="PROJECT8" queryTableFieldId="25" dataDxfId="20" dataCellStyle="Comma"/>
    <tableColumn id="26" uniqueName="26" name="NOTES" queryTableFieldId="26" dataDxfId="19"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S61"/>
  <sheetViews>
    <sheetView tabSelected="1" topLeftCell="D18" zoomScale="90" zoomScaleNormal="90" zoomScaleSheetLayoutView="55" workbookViewId="0">
      <selection activeCell="R38" sqref="R38"/>
    </sheetView>
  </sheetViews>
  <sheetFormatPr defaultColWidth="32" defaultRowHeight="15.6" x14ac:dyDescent="0.3"/>
  <cols>
    <col min="1" max="1" width="12.77734375" style="28" customWidth="1"/>
    <col min="2" max="4" width="15.77734375" style="28" customWidth="1"/>
    <col min="5" max="5" width="40.77734375" style="28" customWidth="1"/>
    <col min="6" max="7" width="9.88671875" style="28" hidden="1" customWidth="1"/>
    <col min="8" max="8" width="10" style="28" hidden="1" customWidth="1"/>
    <col min="9" max="9" width="11.5546875" style="28" bestFit="1" customWidth="1"/>
    <col min="10" max="12" width="15.77734375" style="29" customWidth="1"/>
    <col min="13" max="13" width="23.77734375" style="29" customWidth="1"/>
    <col min="14" max="17" width="14.77734375" style="31" customWidth="1"/>
    <col min="18" max="18" width="18.77734375" style="28" customWidth="1"/>
    <col min="19" max="19" width="4.33203125" style="28" bestFit="1" customWidth="1"/>
    <col min="20" max="16384" width="32" style="28"/>
  </cols>
  <sheetData>
    <row r="1" spans="1:19" ht="24" thickBot="1" x14ac:dyDescent="0.35">
      <c r="A1" s="195" t="s">
        <v>116</v>
      </c>
      <c r="B1" s="195"/>
      <c r="C1" s="195"/>
      <c r="D1" s="195"/>
      <c r="E1" s="195"/>
      <c r="F1" s="195"/>
      <c r="K1" s="30"/>
      <c r="M1" s="56"/>
      <c r="N1" s="201" t="s">
        <v>93</v>
      </c>
      <c r="O1" s="201"/>
      <c r="P1" s="201"/>
      <c r="Q1" s="201"/>
      <c r="R1" s="201"/>
      <c r="S1" s="201"/>
    </row>
    <row r="2" spans="1:19" ht="16.2" thickBot="1" x14ac:dyDescent="0.35">
      <c r="M2" s="56"/>
      <c r="N2" s="85"/>
      <c r="O2" s="197" t="s">
        <v>12</v>
      </c>
      <c r="P2" s="198"/>
      <c r="Q2" s="198"/>
      <c r="R2" s="199"/>
      <c r="S2" s="57"/>
    </row>
    <row r="3" spans="1:19" ht="26.4" x14ac:dyDescent="0.3">
      <c r="A3" s="202" t="s">
        <v>94</v>
      </c>
      <c r="B3" s="202"/>
      <c r="C3" s="202"/>
      <c r="D3" s="202"/>
      <c r="E3" s="33"/>
      <c r="F3" s="33"/>
      <c r="G3" s="33"/>
      <c r="M3" s="87" t="s">
        <v>11</v>
      </c>
      <c r="N3" s="88" t="s">
        <v>77</v>
      </c>
      <c r="O3" s="89" t="s">
        <v>71</v>
      </c>
      <c r="P3" s="89" t="s">
        <v>6</v>
      </c>
      <c r="Q3" s="90" t="s">
        <v>10</v>
      </c>
      <c r="R3" s="34" t="s">
        <v>15</v>
      </c>
      <c r="S3" s="32"/>
    </row>
    <row r="4" spans="1:19" ht="26.4" x14ac:dyDescent="0.3">
      <c r="A4" s="200" t="s">
        <v>154</v>
      </c>
      <c r="B4" s="200"/>
      <c r="C4" s="200"/>
      <c r="D4" s="200"/>
      <c r="E4" s="35"/>
      <c r="F4" s="35"/>
      <c r="G4" s="35"/>
      <c r="M4" s="95" t="s">
        <v>115</v>
      </c>
      <c r="N4" s="91">
        <v>0</v>
      </c>
      <c r="O4" s="92">
        <v>0</v>
      </c>
      <c r="P4" s="37">
        <v>0</v>
      </c>
      <c r="Q4" s="93">
        <f t="shared" ref="Q4:Q11" si="0">SUM(N4:P4)</f>
        <v>0</v>
      </c>
      <c r="R4" s="91">
        <v>0</v>
      </c>
      <c r="S4" s="32"/>
    </row>
    <row r="5" spans="1:19" ht="26.4" x14ac:dyDescent="0.3">
      <c r="A5" s="99" t="s">
        <v>102</v>
      </c>
      <c r="B5" s="100"/>
      <c r="C5" s="100">
        <v>42643</v>
      </c>
      <c r="M5" s="96" t="s">
        <v>114</v>
      </c>
      <c r="N5" s="36">
        <v>519767.43211718404</v>
      </c>
      <c r="O5" s="37">
        <f>Notes!D13</f>
        <v>125000</v>
      </c>
      <c r="P5" s="37">
        <f>150258.401290286+357034.104288998</f>
        <v>507292.50557928404</v>
      </c>
      <c r="Q5" s="38">
        <f t="shared" si="0"/>
        <v>1152059.9376964681</v>
      </c>
      <c r="R5" s="36">
        <f>ROUND(Q5*0.949331239483705,0)</f>
        <v>1093686</v>
      </c>
      <c r="S5" s="39" t="s">
        <v>78</v>
      </c>
    </row>
    <row r="6" spans="1:19" x14ac:dyDescent="0.3">
      <c r="M6" s="96" t="s">
        <v>85</v>
      </c>
      <c r="N6" s="105">
        <f>SUMIFS(Table_Query_from_MS_Access_Database[[#All],[HSIP]],Table_Query_from_MS_Access_Database[[#All],[Transaction Year]],"2016",Table_Query_from_MS_Access_Database[[#All],[Transaction Type]],"loan in")</f>
        <v>0</v>
      </c>
      <c r="O6" s="106">
        <f>SUMIFS(Table_Query_from_MS_Access_Database[[#All],[SPR]],Table_Query_from_MS_Access_Database[[#All],[Transaction Year]],"2016",Table_Query_from_MS_Access_Database[[#All],[Transaction Type]],"loan in")</f>
        <v>0</v>
      </c>
      <c r="P6" s="106">
        <f>SUMIFS(Table_Query_from_MS_Access_Database[[#All],[STP other]],Table_Query_from_MS_Access_Database[[#All],[Transaction Year]],"2016",Table_Query_from_MS_Access_Database[[#All],[Transaction Type]],"loan in")</f>
        <v>0</v>
      </c>
      <c r="Q6" s="38">
        <f t="shared" si="0"/>
        <v>0</v>
      </c>
      <c r="R6" s="40">
        <f>SUMIFS(Table_Query_from_MS_Access_Database_16[[#All],[Total]],Table_Query_from_MS_Access_Database_16[[#All],[Transaction Year]],"2016",Table_Query_from_MS_Access_Database_16[[#All],[Transaction Type]],"Loan In")</f>
        <v>0</v>
      </c>
      <c r="S6" s="32"/>
    </row>
    <row r="7" spans="1:19" x14ac:dyDescent="0.3">
      <c r="A7" s="42"/>
      <c r="M7" s="96" t="s">
        <v>86</v>
      </c>
      <c r="N7" s="106">
        <f>SUMIFS(Table_Query_from_MS_Access_Database[[#All],[HSIP]],Table_Query_from_MS_Access_Database[[#All],[Transaction Year]],"2016",Table_Query_from_MS_Access_Database[[#All],[Transaction Type]],"loan Out")</f>
        <v>-532411</v>
      </c>
      <c r="O7" s="106">
        <f>SUMIFS(Table_Query_from_MS_Access_Database[[#All],[SPR]],Table_Query_from_MS_Access_Database[[#All],[Transaction Year]],"2016",Table_Query_from_MS_Access_Database[[#All],[Transaction Type]],"loan Out")</f>
        <v>0</v>
      </c>
      <c r="P7" s="106">
        <f>SUMIFS(Table_Query_from_MS_Access_Database[[#All],[STP other]],Table_Query_from_MS_Access_Database[[#All],[Transaction Year]],"2016",Table_Query_from_MS_Access_Database[[#All],[Transaction Type]],"loan Out")</f>
        <v>-333733</v>
      </c>
      <c r="Q7" s="38">
        <f t="shared" si="0"/>
        <v>-866144</v>
      </c>
      <c r="R7" s="40">
        <f>SUMIFS(Table_Query_from_MS_Access_Database_16[[#All],[Total]],Table_Query_from_MS_Access_Database_16[[#All],[Transaction Year]],"2016",Table_Query_from_MS_Access_Database_16[[#All],[Transaction Type]],"Loan Out")</f>
        <v>-866144</v>
      </c>
      <c r="S7" s="32"/>
    </row>
    <row r="8" spans="1:19" x14ac:dyDescent="0.3">
      <c r="M8" s="95" t="s">
        <v>87</v>
      </c>
      <c r="N8" s="105">
        <f>SUMIFS(Table_Query_from_MS_Access_Database[[#All],[HSIP]],Table_Query_from_MS_Access_Database[[#All],[Transaction Year]],"2016",Table_Query_from_MS_Access_Database[[#All],[Transaction Type]],"repayment in")</f>
        <v>0</v>
      </c>
      <c r="O8" s="106">
        <f>SUMIFS(Table_Query_from_MS_Access_Database[[#All],[SPR]],Table_Query_from_MS_Access_Database[[#All],[Transaction Year]],"2016",Table_Query_from_MS_Access_Database[[#All],[Transaction Type]],"repayment in")</f>
        <v>0</v>
      </c>
      <c r="P8" s="106">
        <f>SUMIFS(Table_Query_from_MS_Access_Database[[#All],[STP other]],Table_Query_from_MS_Access_Database[[#All],[Transaction Year]],"2016",Table_Query_from_MS_Access_Database[[#All],[Transaction Type]],"repayment in")</f>
        <v>75440</v>
      </c>
      <c r="Q8" s="38">
        <f t="shared" si="0"/>
        <v>75440</v>
      </c>
      <c r="R8" s="40">
        <f>SUMIFS(Table_Query_from_MS_Access_Database_16[[#All],[Total]],Table_Query_from_MS_Access_Database_16[[#All],[Transaction Year]],"2016",Table_Query_from_MS_Access_Database_16[[#All],[Transaction Type]],"repayment In")</f>
        <v>75440</v>
      </c>
      <c r="S8" s="32"/>
    </row>
    <row r="9" spans="1:19" x14ac:dyDescent="0.3">
      <c r="A9" s="200" t="s">
        <v>101</v>
      </c>
      <c r="B9" s="200"/>
      <c r="C9" s="200"/>
      <c r="D9" s="200"/>
      <c r="E9" s="200"/>
      <c r="F9" s="200"/>
      <c r="G9" s="200"/>
      <c r="H9" s="200"/>
      <c r="I9" s="200"/>
      <c r="J9" s="200"/>
      <c r="K9" s="200"/>
      <c r="L9" s="200"/>
      <c r="M9" s="96" t="s">
        <v>88</v>
      </c>
      <c r="N9" s="105">
        <f>SUMIFS(Table_Query_from_MS_Access_Database[[#All],[HSIP]],Table_Query_from_MS_Access_Database[[#All],[Transaction Year]],"2016",Table_Query_from_MS_Access_Database[[#All],[Transaction Type]],"repayment Out")</f>
        <v>0</v>
      </c>
      <c r="O9" s="106">
        <f>SUMIFS(Table_Query_from_MS_Access_Database[[#All],[SPR]],Table_Query_from_MS_Access_Database[[#All],[Transaction Year]],"2016",Table_Query_from_MS_Access_Database[[#All],[Transaction Type]],"repayment Out")</f>
        <v>0</v>
      </c>
      <c r="P9" s="106">
        <f>SUMIFS(Table_Query_from_MS_Access_Database[[#All],[STP other]],Table_Query_from_MS_Access_Database[[#All],[Transaction Year]],"2016",Table_Query_from_MS_Access_Database[[#All],[Transaction Type]],"repayment Out")</f>
        <v>0</v>
      </c>
      <c r="Q9" s="38">
        <f t="shared" si="0"/>
        <v>0</v>
      </c>
      <c r="R9" s="40">
        <f>SUMIFS(Table_Query_from_MS_Access_Database_16[[#All],[Total]],Table_Query_from_MS_Access_Database_16[[#All],[Transaction Year]],"2016",Table_Query_from_MS_Access_Database_16[[#All],[Transaction Type]],"Repayment Out")</f>
        <v>0</v>
      </c>
      <c r="S9" s="32"/>
    </row>
    <row r="10" spans="1:19" x14ac:dyDescent="0.3">
      <c r="M10" s="96" t="s">
        <v>89</v>
      </c>
      <c r="N10" s="105">
        <f>SUMIFS(Table_Query_from_MS_Access_Database[[#All],[HSIP]],Table_Query_from_MS_Access_Database[[#All],[Transaction Year]],"2016",Table_Query_from_MS_Access_Database[[#All],[Transaction Type]],"Transfer in")</f>
        <v>0</v>
      </c>
      <c r="O10" s="106">
        <f>SUMIFS(Table_Query_from_MS_Access_Database[[#All],[SPR]],Table_Query_from_MS_Access_Database[[#All],[Transaction Year]],"2016",Table_Query_from_MS_Access_Database[[#All],[Transaction Type]],"Transfer in")</f>
        <v>0</v>
      </c>
      <c r="P10" s="106">
        <f>SUMIFS(Table_Query_from_MS_Access_Database[[#All],[STP other]],Table_Query_from_MS_Access_Database[[#All],[Transaction Year]],"2016",Table_Query_from_MS_Access_Database[[#All],[Transaction Type]],"Transfer in")</f>
        <v>0</v>
      </c>
      <c r="Q10" s="38">
        <f t="shared" si="0"/>
        <v>0</v>
      </c>
      <c r="R10" s="40">
        <f>SUMIFS(Table_Query_from_MS_Access_Database_16[[#All],[Total]],Table_Query_from_MS_Access_Database_16[[#All],[Transaction Year]],"2016",Table_Query_from_MS_Access_Database_16[[#All],[Transaction Type]],"Transfer In")</f>
        <v>0</v>
      </c>
    </row>
    <row r="11" spans="1:19" x14ac:dyDescent="0.3">
      <c r="F11" s="43"/>
      <c r="G11" s="43"/>
      <c r="M11" s="96" t="s">
        <v>90</v>
      </c>
      <c r="N11" s="105">
        <f>SUMIFS(Table_Query_from_MS_Access_Database[[#All],[HSIP]],Table_Query_from_MS_Access_Database[[#All],[Transaction Year]],"2016",Table_Query_from_MS_Access_Database[[#All],[Transaction Type]],"Transfer Out")</f>
        <v>0</v>
      </c>
      <c r="O11" s="106">
        <f>SUMIFS(Table_Query_from_MS_Access_Database[[#All],[SPR]],Table_Query_from_MS_Access_Database[[#All],[Transaction Year]],"2016",Table_Query_from_MS_Access_Database[[#All],[Transaction Type]],"Transfer Out")</f>
        <v>0</v>
      </c>
      <c r="P11" s="106">
        <f>SUMIFS(Table_Query_from_MS_Access_Database[[#All],[STP other]],Table_Query_from_MS_Access_Database[[#All],[Transaction Year]],"2016",Table_Query_from_MS_Access_Database[[#All],[Transaction Type]],"Transfer Out")</f>
        <v>0</v>
      </c>
      <c r="Q11" s="38">
        <f t="shared" si="0"/>
        <v>0</v>
      </c>
      <c r="R11" s="40">
        <f>SUMIFS(Table_Query_from_MS_Access_Database_16[[#All],[Total]],Table_Query_from_MS_Access_Database_16[[#All],[Transaction Year]],"2016",Table_Query_from_MS_Access_Database_16[[#All],[Transaction Type]],"Transfer Out")</f>
        <v>0</v>
      </c>
      <c r="S11" s="41"/>
    </row>
    <row r="12" spans="1:19" ht="26.4" x14ac:dyDescent="0.3">
      <c r="M12" s="97" t="s">
        <v>126</v>
      </c>
      <c r="N12" s="44">
        <f>SUM(N4:N11)</f>
        <v>-12643.567882815958</v>
      </c>
      <c r="O12" s="45">
        <f>SUM(O4:O11)</f>
        <v>125000</v>
      </c>
      <c r="P12" s="45">
        <f>SUM(P4:P11)</f>
        <v>248999.50557928404</v>
      </c>
      <c r="Q12" s="45">
        <f>SUM(Q4:Q11)</f>
        <v>361355.93769646809</v>
      </c>
      <c r="R12" s="44">
        <f>SUM(R4:R11)</f>
        <v>302982</v>
      </c>
      <c r="S12" s="41"/>
    </row>
    <row r="13" spans="1:19" x14ac:dyDescent="0.3">
      <c r="N13" s="46"/>
      <c r="O13" s="47"/>
      <c r="P13" s="47"/>
      <c r="Q13" s="47"/>
      <c r="R13" s="47"/>
      <c r="S13" s="47"/>
    </row>
    <row r="14" spans="1:19" ht="16.8" x14ac:dyDescent="0.3">
      <c r="A14" s="196" t="s">
        <v>127</v>
      </c>
      <c r="B14" s="196"/>
      <c r="C14" s="196"/>
      <c r="D14" s="196"/>
      <c r="J14" s="203" t="s">
        <v>128</v>
      </c>
      <c r="K14" s="204"/>
      <c r="L14" s="204"/>
      <c r="M14" s="205"/>
      <c r="N14" s="48"/>
      <c r="R14" s="49"/>
      <c r="S14" s="49"/>
    </row>
    <row r="15" spans="1:19" s="83" customFormat="1" ht="26.4" x14ac:dyDescent="0.3">
      <c r="A15" s="80" t="s">
        <v>1</v>
      </c>
      <c r="B15" s="81" t="s">
        <v>0</v>
      </c>
      <c r="C15" s="81" t="s">
        <v>3</v>
      </c>
      <c r="D15" s="81" t="s">
        <v>97</v>
      </c>
      <c r="E15" s="81" t="s">
        <v>2</v>
      </c>
      <c r="F15" s="81" t="s">
        <v>59</v>
      </c>
      <c r="G15" s="81" t="s">
        <v>60</v>
      </c>
      <c r="H15" s="81" t="s">
        <v>61</v>
      </c>
      <c r="I15" s="81" t="s">
        <v>68</v>
      </c>
      <c r="J15" s="82" t="s">
        <v>62</v>
      </c>
      <c r="K15" s="82" t="s">
        <v>63</v>
      </c>
      <c r="L15" s="82" t="s">
        <v>64</v>
      </c>
      <c r="M15" s="82" t="s">
        <v>65</v>
      </c>
      <c r="N15" s="81" t="s">
        <v>4</v>
      </c>
      <c r="O15" s="81" t="s">
        <v>5</v>
      </c>
      <c r="P15" s="81" t="s">
        <v>67</v>
      </c>
      <c r="Q15" s="81" t="s">
        <v>98</v>
      </c>
      <c r="R15" s="79" t="s">
        <v>107</v>
      </c>
      <c r="S15" s="52"/>
    </row>
    <row r="16" spans="1:19" s="102" customFormat="1" ht="13.2" x14ac:dyDescent="0.3">
      <c r="A16" s="53" t="s">
        <v>186</v>
      </c>
      <c r="B16" s="53" t="s">
        <v>187</v>
      </c>
      <c r="C16" s="53" t="s">
        <v>188</v>
      </c>
      <c r="D16" s="53" t="s">
        <v>9</v>
      </c>
      <c r="E16" s="53" t="s">
        <v>189</v>
      </c>
      <c r="F16" s="53" t="s">
        <v>190</v>
      </c>
      <c r="G16" s="54" t="s">
        <v>66</v>
      </c>
      <c r="H16" s="54" t="s">
        <v>155</v>
      </c>
      <c r="I16" s="54" t="str">
        <f>CONCATENATE(Table_Query_from_MS_Access_Database_1[[#This Row],[RTE]],Table_Query_from_MS_Access_Database_1[[#This Row],[SEC]],Table_Query_from_MS_Access_Database_1[[#This Row],[SEQ]])</f>
        <v>CSG0202</v>
      </c>
      <c r="J16" s="98"/>
      <c r="K16" s="98">
        <v>42338</v>
      </c>
      <c r="L16" s="98">
        <v>42338</v>
      </c>
      <c r="M16" s="98">
        <v>42339</v>
      </c>
      <c r="N16" s="117">
        <v>-8673.2800000000007</v>
      </c>
      <c r="O16" s="117"/>
      <c r="P16" s="117"/>
      <c r="Q16" s="117">
        <f>+SUM(Table_Query_from_MS_Access_Database_1[[#This Row],[HSIP]:[STP OTHER]])</f>
        <v>-8673.2800000000007</v>
      </c>
      <c r="R16" s="122">
        <f>R12-Table_Query_from_MS_Access_Database_1[TOTAL OF  AMOUNT]</f>
        <v>311655.28000000003</v>
      </c>
      <c r="S16" s="101"/>
    </row>
    <row r="17" spans="1:19" s="58" customFormat="1" ht="13.2" x14ac:dyDescent="0.3">
      <c r="A17" s="153" t="s">
        <v>211</v>
      </c>
      <c r="B17" s="153"/>
      <c r="C17" s="153" t="s">
        <v>151</v>
      </c>
      <c r="D17" s="153" t="s">
        <v>8</v>
      </c>
      <c r="E17" s="153" t="s">
        <v>212</v>
      </c>
      <c r="F17" s="153" t="s">
        <v>153</v>
      </c>
      <c r="G17" s="155" t="s">
        <v>66</v>
      </c>
      <c r="H17" s="155" t="s">
        <v>213</v>
      </c>
      <c r="I17" s="155" t="str">
        <f>CONCATENATE(Table_Query_from_MS_Access_Database_1[[#This Row],[RTE]],Table_Query_from_MS_Access_Database_1[[#This Row],[SEC]],Table_Query_from_MS_Access_Database_1[[#This Row],[SEQ]])</f>
        <v>SUP0201</v>
      </c>
      <c r="J17" s="157"/>
      <c r="K17" s="157">
        <v>42347</v>
      </c>
      <c r="L17" s="157">
        <v>42347</v>
      </c>
      <c r="M17" s="157">
        <v>42347</v>
      </c>
      <c r="N17" s="159">
        <v>-57861.48</v>
      </c>
      <c r="O17" s="159"/>
      <c r="P17" s="159"/>
      <c r="Q17" s="159">
        <f>+SUM(Table_Query_from_MS_Access_Database_1[[#This Row],[HSIP]:[STP OTHER]])</f>
        <v>-57861.48</v>
      </c>
      <c r="R17" s="160">
        <f>R16-Table_Query_from_MS_Access_Database_1[TOTAL OF  AMOUNT]</f>
        <v>369516.76</v>
      </c>
      <c r="S17" s="103"/>
    </row>
    <row r="18" spans="1:19" s="58" customFormat="1" ht="13.2" x14ac:dyDescent="0.3">
      <c r="A18" s="153" t="s">
        <v>182</v>
      </c>
      <c r="B18" s="153" t="s">
        <v>183</v>
      </c>
      <c r="C18" s="153" t="s">
        <v>136</v>
      </c>
      <c r="D18" s="153" t="s">
        <v>9</v>
      </c>
      <c r="E18" s="153" t="s">
        <v>184</v>
      </c>
      <c r="F18" s="153" t="s">
        <v>137</v>
      </c>
      <c r="G18" s="155" t="s">
        <v>66</v>
      </c>
      <c r="H18" s="155" t="s">
        <v>185</v>
      </c>
      <c r="I18" s="155" t="str">
        <f>CONCATENATE(Table_Query_from_MS_Access_Database_1[[#This Row],[RTE]],Table_Query_from_MS_Access_Database_1[[#This Row],[SEC]],Table_Query_from_MS_Access_Database_1[[#This Row],[SEQ]])</f>
        <v>PAY0204</v>
      </c>
      <c r="J18" s="157"/>
      <c r="K18" s="157">
        <v>42338</v>
      </c>
      <c r="L18" s="157">
        <v>42338</v>
      </c>
      <c r="M18" s="157">
        <v>42347</v>
      </c>
      <c r="N18" s="159">
        <v>-25560.19</v>
      </c>
      <c r="O18" s="159"/>
      <c r="P18" s="159"/>
      <c r="Q18" s="159">
        <f>+SUM(Table_Query_from_MS_Access_Database_1[[#This Row],[HSIP]:[STP OTHER]])</f>
        <v>-25560.19</v>
      </c>
      <c r="R18" s="160">
        <f>R17-Table_Query_from_MS_Access_Database_1[TOTAL OF  AMOUNT]</f>
        <v>395076.95</v>
      </c>
      <c r="S18" s="103"/>
    </row>
    <row r="19" spans="1:19" s="58" customFormat="1" ht="26.4" x14ac:dyDescent="0.3">
      <c r="A19" s="153" t="s">
        <v>208</v>
      </c>
      <c r="B19" s="153" t="s">
        <v>209</v>
      </c>
      <c r="C19" s="153" t="s">
        <v>204</v>
      </c>
      <c r="D19" s="153" t="s">
        <v>8</v>
      </c>
      <c r="E19" s="153" t="s">
        <v>210</v>
      </c>
      <c r="F19" s="154" t="s">
        <v>206</v>
      </c>
      <c r="G19" s="156" t="s">
        <v>66</v>
      </c>
      <c r="H19" s="156" t="s">
        <v>207</v>
      </c>
      <c r="I19" s="156" t="str">
        <f>CONCATENATE(Table_Query_from_MS_Access_Database_1[[#This Row],[RTE]],Table_Query_from_MS_Access_Database_1[[#This Row],[SEC]],Table_Query_from_MS_Access_Database_1[[#This Row],[SEQ]])</f>
        <v>WKL0200</v>
      </c>
      <c r="J19" s="158"/>
      <c r="K19" s="158">
        <v>42335</v>
      </c>
      <c r="L19" s="158">
        <v>42354</v>
      </c>
      <c r="M19" s="158">
        <v>42360</v>
      </c>
      <c r="N19" s="152">
        <v>-65000</v>
      </c>
      <c r="O19" s="152"/>
      <c r="P19" s="152"/>
      <c r="Q19" s="152">
        <f>+SUM(Table_Query_from_MS_Access_Database_1[[#This Row],[HSIP]:[STP OTHER]])</f>
        <v>-65000</v>
      </c>
      <c r="R19" s="160">
        <f>R18-Table_Query_from_MS_Access_Database_1[TOTAL OF  AMOUNT]</f>
        <v>460076.95</v>
      </c>
      <c r="S19" s="75"/>
    </row>
    <row r="20" spans="1:19" s="58" customFormat="1" ht="13.2" x14ac:dyDescent="0.3">
      <c r="A20" s="153" t="s">
        <v>202</v>
      </c>
      <c r="B20" s="153" t="s">
        <v>203</v>
      </c>
      <c r="C20" s="153" t="s">
        <v>204</v>
      </c>
      <c r="D20" s="153" t="s">
        <v>7</v>
      </c>
      <c r="E20" s="153" t="s">
        <v>205</v>
      </c>
      <c r="F20" s="153" t="s">
        <v>206</v>
      </c>
      <c r="G20" s="155" t="s">
        <v>66</v>
      </c>
      <c r="H20" s="155" t="s">
        <v>207</v>
      </c>
      <c r="I20" s="155" t="str">
        <f>CONCATENATE(Table_Query_from_MS_Access_Database_1[[#This Row],[RTE]],Table_Query_from_MS_Access_Database_1[[#This Row],[SEC]],Table_Query_from_MS_Access_Database_1[[#This Row],[SEQ]])</f>
        <v>WKL0200</v>
      </c>
      <c r="J20" s="157">
        <v>42356</v>
      </c>
      <c r="K20" s="157">
        <v>42346</v>
      </c>
      <c r="L20" s="157">
        <v>42354</v>
      </c>
      <c r="M20" s="157">
        <v>42360</v>
      </c>
      <c r="N20" s="117">
        <v>95000</v>
      </c>
      <c r="O20" s="117"/>
      <c r="P20" s="117"/>
      <c r="Q20" s="159">
        <f>+SUM(Table_Query_from_MS_Access_Database_1[[#This Row],[HSIP]:[STP OTHER]])</f>
        <v>95000</v>
      </c>
      <c r="R20" s="160">
        <f>R19-Table_Query_from_MS_Access_Database_1[TOTAL OF  AMOUNT]</f>
        <v>365076.95</v>
      </c>
    </row>
    <row r="21" spans="1:19" s="58" customFormat="1" ht="26.4" x14ac:dyDescent="0.3">
      <c r="A21" s="53" t="s">
        <v>176</v>
      </c>
      <c r="B21" s="53" t="s">
        <v>177</v>
      </c>
      <c r="C21" s="53" t="s">
        <v>178</v>
      </c>
      <c r="D21" s="53" t="s">
        <v>9</v>
      </c>
      <c r="E21" s="53" t="s">
        <v>179</v>
      </c>
      <c r="F21" s="161" t="s">
        <v>180</v>
      </c>
      <c r="G21" s="162" t="s">
        <v>66</v>
      </c>
      <c r="H21" s="162" t="s">
        <v>181</v>
      </c>
      <c r="I21" s="162" t="str">
        <f>CONCATENATE(Table_Query_from_MS_Access_Database_1[[#This Row],[RTE]],Table_Query_from_MS_Access_Database_1[[#This Row],[SEC]],Table_Query_from_MS_Access_Database_1[[#This Row],[SEQ]])</f>
        <v>QCR0210</v>
      </c>
      <c r="J21" s="163"/>
      <c r="K21" s="163">
        <v>42324</v>
      </c>
      <c r="L21" s="163">
        <v>42324</v>
      </c>
      <c r="M21" s="163">
        <v>42374</v>
      </c>
      <c r="N21" s="164">
        <v>-6323.83</v>
      </c>
      <c r="O21" s="164"/>
      <c r="P21" s="164"/>
      <c r="Q21" s="164">
        <f>+SUM(Table_Query_from_MS_Access_Database_1[[#This Row],[HSIP]:[STP OTHER]])</f>
        <v>-6323.83</v>
      </c>
      <c r="R21" s="160">
        <f>R20-Table_Query_from_MS_Access_Database_1[TOTAL OF  AMOUNT]</f>
        <v>371400.78</v>
      </c>
    </row>
    <row r="22" spans="1:19" s="58" customFormat="1" ht="13.2" x14ac:dyDescent="0.3">
      <c r="A22" s="165" t="s">
        <v>197</v>
      </c>
      <c r="B22" s="165" t="s">
        <v>198</v>
      </c>
      <c r="C22" s="165" t="s">
        <v>199</v>
      </c>
      <c r="D22" s="165" t="s">
        <v>9</v>
      </c>
      <c r="E22" s="165" t="s">
        <v>200</v>
      </c>
      <c r="F22" s="165" t="s">
        <v>201</v>
      </c>
      <c r="G22" s="167" t="s">
        <v>66</v>
      </c>
      <c r="H22" s="167" t="s">
        <v>155</v>
      </c>
      <c r="I22" s="167" t="str">
        <f>CONCATENATE(Table_Query_from_MS_Access_Database_1[[#This Row],[RTE]],Table_Query_from_MS_Access_Database_1[[#This Row],[SEC]],Table_Query_from_MS_Access_Database_1[[#This Row],[SEQ]])</f>
        <v>CLG0202</v>
      </c>
      <c r="J22" s="169"/>
      <c r="K22" s="169">
        <v>42359</v>
      </c>
      <c r="L22" s="169">
        <v>42359</v>
      </c>
      <c r="M22" s="169">
        <v>42375</v>
      </c>
      <c r="N22" s="117">
        <v>-31787.43</v>
      </c>
      <c r="O22" s="117"/>
      <c r="P22" s="117"/>
      <c r="Q22" s="171">
        <f>+SUM(Table_Query_from_MS_Access_Database_1[[#This Row],[HSIP]:[STP OTHER]])</f>
        <v>-31787.43</v>
      </c>
      <c r="R22" s="160">
        <f>R21-Table_Query_from_MS_Access_Database_1[TOTAL OF  AMOUNT]</f>
        <v>403188.21</v>
      </c>
    </row>
    <row r="23" spans="1:19" s="58" customFormat="1" ht="13.2" x14ac:dyDescent="0.3">
      <c r="A23" s="165" t="s">
        <v>191</v>
      </c>
      <c r="B23" s="165"/>
      <c r="C23" s="165" t="s">
        <v>55</v>
      </c>
      <c r="D23" s="165" t="s">
        <v>8</v>
      </c>
      <c r="E23" s="165" t="s">
        <v>172</v>
      </c>
      <c r="F23" s="166" t="s">
        <v>173</v>
      </c>
      <c r="G23" s="168" t="s">
        <v>174</v>
      </c>
      <c r="H23" s="168" t="s">
        <v>175</v>
      </c>
      <c r="I23" s="168" t="str">
        <f>CONCATENATE(Table_Query_from_MS_Access_Database_1[[#This Row],[RTE]],Table_Query_from_MS_Access_Database_1[[#This Row],[SEC]],Table_Query_from_MS_Access_Database_1[[#This Row],[SEQ]])</f>
        <v>000I188</v>
      </c>
      <c r="J23" s="170"/>
      <c r="K23" s="170">
        <v>42349</v>
      </c>
      <c r="L23" s="170">
        <v>42360</v>
      </c>
      <c r="M23" s="170">
        <v>42389</v>
      </c>
      <c r="N23" s="164"/>
      <c r="O23" s="164">
        <v>93750</v>
      </c>
      <c r="P23" s="164"/>
      <c r="Q23" s="172">
        <f>+SUM(Table_Query_from_MS_Access_Database_1[[#This Row],[HSIP]:[STP OTHER]])</f>
        <v>93750</v>
      </c>
      <c r="R23" s="160">
        <f>R22-Table_Query_from_MS_Access_Database_1[TOTAL OF  AMOUNT]</f>
        <v>309438.21000000002</v>
      </c>
    </row>
    <row r="24" spans="1:19" s="59" customFormat="1" ht="26.4" x14ac:dyDescent="0.3">
      <c r="A24" s="165" t="s">
        <v>192</v>
      </c>
      <c r="B24" s="165" t="s">
        <v>193</v>
      </c>
      <c r="C24" s="165" t="s">
        <v>194</v>
      </c>
      <c r="D24" s="165" t="s">
        <v>9</v>
      </c>
      <c r="E24" s="165" t="s">
        <v>195</v>
      </c>
      <c r="F24" s="166" t="s">
        <v>196</v>
      </c>
      <c r="G24" s="168" t="s">
        <v>66</v>
      </c>
      <c r="H24" s="168" t="s">
        <v>138</v>
      </c>
      <c r="I24" s="168" t="str">
        <f>CONCATENATE(Table_Query_from_MS_Access_Database_1[[#This Row],[RTE]],Table_Query_from_MS_Access_Database_1[[#This Row],[SEC]],Table_Query_from_MS_Access_Database_1[[#This Row],[SEQ]])</f>
        <v>GLB0203</v>
      </c>
      <c r="J24" s="170"/>
      <c r="K24" s="170">
        <v>42359</v>
      </c>
      <c r="L24" s="170">
        <v>42359</v>
      </c>
      <c r="M24" s="170">
        <v>42401</v>
      </c>
      <c r="N24" s="164">
        <v>-59.56</v>
      </c>
      <c r="O24" s="164"/>
      <c r="P24" s="164"/>
      <c r="Q24" s="172">
        <f>+SUM(Table_Query_from_MS_Access_Database_1[[#This Row],[HSIP]:[STP OTHER]])</f>
        <v>-59.56</v>
      </c>
      <c r="R24" s="160">
        <f>R23-Table_Query_from_MS_Access_Database_1[TOTAL OF  AMOUNT]</f>
        <v>309497.77</v>
      </c>
      <c r="S24" s="104"/>
    </row>
    <row r="25" spans="1:19" s="58" customFormat="1" ht="13.2" x14ac:dyDescent="0.3">
      <c r="A25" s="165" t="s">
        <v>202</v>
      </c>
      <c r="B25" s="165" t="s">
        <v>203</v>
      </c>
      <c r="C25" s="165" t="s">
        <v>204</v>
      </c>
      <c r="D25" s="165" t="s">
        <v>21</v>
      </c>
      <c r="E25" s="165" t="s">
        <v>205</v>
      </c>
      <c r="F25" s="166" t="s">
        <v>206</v>
      </c>
      <c r="G25" s="168" t="s">
        <v>66</v>
      </c>
      <c r="H25" s="168" t="s">
        <v>207</v>
      </c>
      <c r="I25" s="168" t="str">
        <f>CONCATENATE(Table_Query_from_MS_Access_Database_1[[#This Row],[RTE]],Table_Query_from_MS_Access_Database_1[[#This Row],[SEC]],Table_Query_from_MS_Access_Database_1[[#This Row],[SEQ]])</f>
        <v>WKL0200</v>
      </c>
      <c r="J25" s="170"/>
      <c r="K25" s="170">
        <v>42424</v>
      </c>
      <c r="L25" s="170">
        <v>42438</v>
      </c>
      <c r="M25" s="170">
        <v>42439</v>
      </c>
      <c r="N25" s="164">
        <v>-40752</v>
      </c>
      <c r="O25" s="164"/>
      <c r="P25" s="164"/>
      <c r="Q25" s="172">
        <f>+SUM(Table_Query_from_MS_Access_Database_1[[#This Row],[HSIP]:[STP OTHER]])</f>
        <v>-40752</v>
      </c>
      <c r="R25" s="160">
        <f>R24-Table_Query_from_MS_Access_Database_1[TOTAL OF  AMOUNT]</f>
        <v>350249.77</v>
      </c>
      <c r="S25" s="75"/>
    </row>
    <row r="26" spans="1:19" s="58" customFormat="1" ht="13.2" x14ac:dyDescent="0.3">
      <c r="A26" s="175" t="s">
        <v>219</v>
      </c>
      <c r="B26" s="175" t="s">
        <v>169</v>
      </c>
      <c r="C26" s="175" t="s">
        <v>55</v>
      </c>
      <c r="D26" s="175" t="s">
        <v>7</v>
      </c>
      <c r="E26" s="175" t="s">
        <v>170</v>
      </c>
      <c r="F26" s="175" t="s">
        <v>171</v>
      </c>
      <c r="G26" s="176" t="s">
        <v>139</v>
      </c>
      <c r="H26" s="176" t="s">
        <v>220</v>
      </c>
      <c r="I26" s="176" t="str">
        <f>CONCATENATE(Table_Query_from_MS_Access_Database_1[[#This Row],[RTE]],Table_Query_from_MS_Access_Database_1[[#This Row],[SEC]],Table_Query_from_MS_Access_Database_1[[#This Row],[SEQ]])</f>
        <v>999A502</v>
      </c>
      <c r="J26" s="177"/>
      <c r="K26" s="177">
        <v>42465</v>
      </c>
      <c r="L26" s="177">
        <v>42468</v>
      </c>
      <c r="M26" s="177">
        <v>42473</v>
      </c>
      <c r="N26" s="117"/>
      <c r="O26" s="117"/>
      <c r="P26" s="117">
        <v>50000</v>
      </c>
      <c r="Q26" s="178">
        <f>+SUM(Table_Query_from_MS_Access_Database_1[[#This Row],[HSIP]:[STP OTHER]])</f>
        <v>50000</v>
      </c>
      <c r="R26" s="160">
        <f>R25-Table_Query_from_MS_Access_Database_1[TOTAL OF  AMOUNT]</f>
        <v>300249.77</v>
      </c>
      <c r="S26" s="75"/>
    </row>
    <row r="27" spans="1:19" s="58" customFormat="1" ht="26.4" x14ac:dyDescent="0.3">
      <c r="A27" s="175" t="s">
        <v>215</v>
      </c>
      <c r="B27" s="175" t="s">
        <v>150</v>
      </c>
      <c r="C27" s="175" t="s">
        <v>151</v>
      </c>
      <c r="D27" s="175" t="s">
        <v>7</v>
      </c>
      <c r="E27" s="175" t="s">
        <v>152</v>
      </c>
      <c r="F27" s="175" t="s">
        <v>153</v>
      </c>
      <c r="G27" s="176" t="s">
        <v>66</v>
      </c>
      <c r="H27" s="176" t="s">
        <v>155</v>
      </c>
      <c r="I27" s="176" t="str">
        <f>CONCATENATE(Table_Query_from_MS_Access_Database_1[[#This Row],[RTE]],Table_Query_from_MS_Access_Database_1[[#This Row],[SEC]],Table_Query_from_MS_Access_Database_1[[#This Row],[SEQ]])</f>
        <v>SUP0202</v>
      </c>
      <c r="J27" s="177">
        <v>42370</v>
      </c>
      <c r="K27" s="177">
        <v>42418</v>
      </c>
      <c r="L27" s="177">
        <v>42452</v>
      </c>
      <c r="M27" s="177">
        <v>42479</v>
      </c>
      <c r="N27" s="117">
        <v>70000</v>
      </c>
      <c r="O27" s="117"/>
      <c r="P27" s="117"/>
      <c r="Q27" s="178">
        <f>+SUM(Table_Query_from_MS_Access_Database_1[[#This Row],[HSIP]:[STP OTHER]])</f>
        <v>70000</v>
      </c>
      <c r="R27" s="160">
        <f>R26-Table_Query_from_MS_Access_Database_1[TOTAL OF  AMOUNT]</f>
        <v>230249.77000000002</v>
      </c>
    </row>
    <row r="28" spans="1:19" s="58" customFormat="1" ht="13.2" x14ac:dyDescent="0.3">
      <c r="A28" s="181" t="s">
        <v>225</v>
      </c>
      <c r="B28" s="181" t="s">
        <v>226</v>
      </c>
      <c r="C28" s="181" t="s">
        <v>55</v>
      </c>
      <c r="D28" s="181" t="s">
        <v>9</v>
      </c>
      <c r="E28" s="181" t="s">
        <v>227</v>
      </c>
      <c r="F28" s="181" t="s">
        <v>173</v>
      </c>
      <c r="G28" s="182" t="s">
        <v>174</v>
      </c>
      <c r="H28" s="182" t="s">
        <v>228</v>
      </c>
      <c r="I28" s="182" t="str">
        <f>CONCATENATE(Table_Query_from_MS_Access_Database_1[[#This Row],[RTE]],Table_Query_from_MS_Access_Database_1[[#This Row],[SEC]],Table_Query_from_MS_Access_Database_1[[#This Row],[SEQ]])</f>
        <v>000I186</v>
      </c>
      <c r="J28" s="184"/>
      <c r="K28" s="184">
        <v>42551</v>
      </c>
      <c r="L28" s="184">
        <v>42551</v>
      </c>
      <c r="M28" s="184">
        <v>42551</v>
      </c>
      <c r="N28" s="186"/>
      <c r="O28" s="186">
        <v>-0.5</v>
      </c>
      <c r="P28" s="186"/>
      <c r="Q28" s="186">
        <f>+SUM(Table_Query_from_MS_Access_Database_1[[#This Row],[HSIP]:[STP OTHER]])</f>
        <v>-0.5</v>
      </c>
      <c r="R28" s="160">
        <f>R27-Table_Query_from_MS_Access_Database_1[TOTAL OF  AMOUNT]</f>
        <v>230250.27000000002</v>
      </c>
    </row>
    <row r="29" spans="1:19" s="58" customFormat="1" ht="13.2" x14ac:dyDescent="0.3">
      <c r="A29" s="181" t="s">
        <v>165</v>
      </c>
      <c r="B29" s="181" t="s">
        <v>166</v>
      </c>
      <c r="C29" s="181" t="s">
        <v>108</v>
      </c>
      <c r="D29" s="181" t="s">
        <v>7</v>
      </c>
      <c r="E29" s="181" t="s">
        <v>167</v>
      </c>
      <c r="F29" s="180" t="s">
        <v>168</v>
      </c>
      <c r="G29" s="183" t="s">
        <v>139</v>
      </c>
      <c r="H29" s="183" t="s">
        <v>229</v>
      </c>
      <c r="I29" s="183" t="str">
        <f>CONCATENATE(Table_Query_from_MS_Access_Database_1[[#This Row],[RTE]],Table_Query_from_MS_Access_Database_1[[#This Row],[SEC]],Table_Query_from_MS_Access_Database_1[[#This Row],[SEQ]])</f>
        <v>094A475</v>
      </c>
      <c r="J29" s="185">
        <v>42522</v>
      </c>
      <c r="K29" s="185">
        <v>42534</v>
      </c>
      <c r="L29" s="185">
        <v>42535</v>
      </c>
      <c r="M29" s="185">
        <v>42551</v>
      </c>
      <c r="N29" s="187"/>
      <c r="O29" s="187"/>
      <c r="P29" s="187">
        <v>10000</v>
      </c>
      <c r="Q29" s="187">
        <f>+SUM(Table_Query_from_MS_Access_Database_1[[#This Row],[HSIP]:[STP OTHER]])</f>
        <v>10000</v>
      </c>
      <c r="R29" s="160">
        <f>R28-Table_Query_from_MS_Access_Database_1[TOTAL OF  AMOUNT]</f>
        <v>220250.27000000002</v>
      </c>
    </row>
    <row r="30" spans="1:19" s="58" customFormat="1" ht="13.2" x14ac:dyDescent="0.3">
      <c r="A30" s="161" t="s">
        <v>211</v>
      </c>
      <c r="B30" s="161"/>
      <c r="C30" s="161" t="s">
        <v>151</v>
      </c>
      <c r="D30" s="161" t="s">
        <v>9</v>
      </c>
      <c r="E30" s="161" t="s">
        <v>212</v>
      </c>
      <c r="F30" s="161" t="s">
        <v>153</v>
      </c>
      <c r="G30" s="162" t="s">
        <v>66</v>
      </c>
      <c r="H30" s="162" t="s">
        <v>213</v>
      </c>
      <c r="I30" s="162" t="str">
        <f>CONCATENATE(Table_Query_from_MS_Access_Database_1[[#This Row],[RTE]],Table_Query_from_MS_Access_Database_1[[#This Row],[SEC]],Table_Query_from_MS_Access_Database_1[[#This Row],[SEQ]])</f>
        <v>SUP0201</v>
      </c>
      <c r="J30" s="163"/>
      <c r="K30" s="163">
        <v>42557</v>
      </c>
      <c r="L30" s="163">
        <v>42557</v>
      </c>
      <c r="M30" s="163">
        <v>42558</v>
      </c>
      <c r="N30" s="164">
        <v>-2138.52</v>
      </c>
      <c r="O30" s="164"/>
      <c r="P30" s="164"/>
      <c r="Q30" s="164">
        <f>+SUM(Table_Query_from_MS_Access_Database_1[[#This Row],[HSIP]:[STP OTHER]])</f>
        <v>-2138.52</v>
      </c>
      <c r="R30" s="160">
        <f>R29-Table_Query_from_MS_Access_Database_1[TOTAL OF  AMOUNT]</f>
        <v>222388.79</v>
      </c>
    </row>
    <row r="31" spans="1:19" s="55" customFormat="1" ht="26.4" x14ac:dyDescent="0.3">
      <c r="A31" s="188" t="s">
        <v>230</v>
      </c>
      <c r="B31" s="188" t="s">
        <v>216</v>
      </c>
      <c r="C31" s="188" t="s">
        <v>136</v>
      </c>
      <c r="D31" s="188" t="s">
        <v>7</v>
      </c>
      <c r="E31" s="188" t="s">
        <v>217</v>
      </c>
      <c r="F31" s="188" t="s">
        <v>137</v>
      </c>
      <c r="G31" s="189" t="s">
        <v>66</v>
      </c>
      <c r="H31" s="189" t="s">
        <v>218</v>
      </c>
      <c r="I31" s="189" t="str">
        <f>CONCATENATE(Table_Query_from_MS_Access_Database_1[[#This Row],[RTE]],Table_Query_from_MS_Access_Database_1[[#This Row],[SEC]],Table_Query_from_MS_Access_Database_1[[#This Row],[SEQ]])</f>
        <v>PAY0207</v>
      </c>
      <c r="J31" s="190">
        <v>42552</v>
      </c>
      <c r="K31" s="190">
        <v>42586</v>
      </c>
      <c r="L31" s="190">
        <v>42593</v>
      </c>
      <c r="M31" s="190">
        <v>42599</v>
      </c>
      <c r="N31" s="191"/>
      <c r="O31" s="191"/>
      <c r="P31" s="191">
        <v>189000</v>
      </c>
      <c r="Q31" s="191">
        <f>+SUM(Table_Query_from_MS_Access_Database_1[[#This Row],[HSIP]:[STP OTHER]])</f>
        <v>189000</v>
      </c>
      <c r="R31" s="160">
        <f>R30-Table_Query_from_MS_Access_Database_1[TOTAL OF  AMOUNT]</f>
        <v>33388.790000000008</v>
      </c>
    </row>
    <row r="32" spans="1:19" s="55" customFormat="1" x14ac:dyDescent="0.3">
      <c r="A32" s="221" t="s">
        <v>232</v>
      </c>
      <c r="B32" s="221" t="s">
        <v>233</v>
      </c>
      <c r="C32" s="221" t="s">
        <v>55</v>
      </c>
      <c r="D32" s="221" t="s">
        <v>7</v>
      </c>
      <c r="E32" s="221" t="s">
        <v>234</v>
      </c>
      <c r="F32" s="221" t="s">
        <v>55</v>
      </c>
      <c r="G32" s="222" t="s">
        <v>235</v>
      </c>
      <c r="H32" s="222" t="s">
        <v>236</v>
      </c>
      <c r="I32" s="222" t="str">
        <f>CONCATENATE(Table_Query_from_MS_Access_Database_1[[#This Row],[RTE]],Table_Query_from_MS_Access_Database_1[[#This Row],[SEC]],Table_Query_from_MS_Access_Database_1[[#This Row],[SEQ]])</f>
        <v>CAGS017</v>
      </c>
      <c r="J32" s="223">
        <v>42613</v>
      </c>
      <c r="K32" s="223">
        <v>42592</v>
      </c>
      <c r="L32" s="223">
        <v>42605</v>
      </c>
      <c r="M32" s="223">
        <v>42625</v>
      </c>
      <c r="N32" s="224"/>
      <c r="O32" s="224">
        <v>31250</v>
      </c>
      <c r="P32" s="224"/>
      <c r="Q32" s="224">
        <f>+SUM(Table_Query_from_MS_Access_Database_1[[#This Row],[HSIP]:[STP OTHER]])</f>
        <v>31250</v>
      </c>
      <c r="R32" s="160">
        <f>R31-Table_Query_from_MS_Access_Database_1[TOTAL OF  AMOUNT]</f>
        <v>2138.7900000000081</v>
      </c>
    </row>
    <row r="33" spans="1:18" s="55" customFormat="1" x14ac:dyDescent="0.3">
      <c r="A33" s="58"/>
      <c r="B33" s="58"/>
      <c r="C33" s="58"/>
      <c r="D33" s="58"/>
      <c r="E33" s="58"/>
      <c r="F33" s="59"/>
      <c r="G33" s="59"/>
      <c r="H33" s="59"/>
      <c r="I33" s="59"/>
      <c r="J33" s="60"/>
      <c r="K33" s="60"/>
      <c r="L33" s="60"/>
      <c r="M33" s="61" t="s">
        <v>92</v>
      </c>
      <c r="N33" s="118">
        <f>SUM(Table_Query_from_MS_Access_Database_1[HSIP])</f>
        <v>-73156.290000000023</v>
      </c>
      <c r="O33" s="118">
        <f>SUM(Table_Query_from_MS_Access_Database_1[SPR])</f>
        <v>124999.5</v>
      </c>
      <c r="P33" s="118">
        <f>SUM(Table_Query_from_MS_Access_Database_1[STP OTHER])</f>
        <v>249000</v>
      </c>
      <c r="Q33" s="118">
        <f>SUM(Table_Query_from_MS_Access_Database_1[TOTAL OF  AMOUNT])</f>
        <v>300843.20999999996</v>
      </c>
      <c r="R33" s="121"/>
    </row>
    <row r="34" spans="1:18" s="55" customFormat="1" x14ac:dyDescent="0.3">
      <c r="A34" s="50"/>
      <c r="B34" s="50"/>
      <c r="C34" s="50"/>
      <c r="D34" s="50"/>
      <c r="E34" s="50"/>
      <c r="F34" s="50"/>
      <c r="G34" s="50"/>
      <c r="H34" s="50"/>
      <c r="I34" s="50"/>
      <c r="J34" s="62"/>
      <c r="K34" s="62"/>
      <c r="L34" s="62"/>
      <c r="M34" s="63" t="s">
        <v>91</v>
      </c>
      <c r="N34" s="120">
        <f>+N12-N33</f>
        <v>60512.722117184065</v>
      </c>
      <c r="O34" s="120">
        <f>+O12-O33</f>
        <v>0.5</v>
      </c>
      <c r="P34" s="120">
        <f>+P12-P33</f>
        <v>-0.4944207159569487</v>
      </c>
      <c r="Q34" s="120">
        <f>+Q12-Q33</f>
        <v>60512.727696468122</v>
      </c>
      <c r="R34" s="121"/>
    </row>
    <row r="35" spans="1:18" s="55" customFormat="1" x14ac:dyDescent="0.3">
      <c r="A35" s="51"/>
      <c r="B35" s="51"/>
      <c r="C35" s="51"/>
      <c r="D35" s="51"/>
      <c r="E35" s="51"/>
      <c r="F35" s="51"/>
      <c r="G35" s="51"/>
      <c r="H35" s="51"/>
      <c r="I35" s="51"/>
      <c r="J35" s="64"/>
      <c r="K35" s="64"/>
      <c r="L35" s="64"/>
      <c r="M35" s="65"/>
      <c r="N35" s="49"/>
      <c r="O35" s="49"/>
      <c r="P35" s="49"/>
      <c r="Q35" s="49"/>
    </row>
    <row r="36" spans="1:18" s="55" customFormat="1" ht="16.8" x14ac:dyDescent="0.35">
      <c r="A36" s="196" t="s">
        <v>37</v>
      </c>
      <c r="B36" s="196"/>
      <c r="C36" s="196"/>
      <c r="D36" s="196"/>
      <c r="E36" s="66"/>
      <c r="F36" s="66"/>
      <c r="G36" s="67"/>
      <c r="H36" s="67"/>
      <c r="I36" s="67"/>
      <c r="J36" s="68"/>
      <c r="K36" s="69"/>
      <c r="L36" s="69"/>
      <c r="M36" s="69"/>
      <c r="N36" s="70"/>
      <c r="O36" s="49"/>
      <c r="P36" s="49"/>
      <c r="Q36" s="51"/>
      <c r="R36" s="51"/>
    </row>
    <row r="37" spans="1:18" s="55" customFormat="1" ht="39.6" x14ac:dyDescent="0.3">
      <c r="A37" s="71" t="s">
        <v>1</v>
      </c>
      <c r="B37" s="72" t="s">
        <v>0</v>
      </c>
      <c r="C37" s="72" t="s">
        <v>3</v>
      </c>
      <c r="D37" s="72" t="s">
        <v>97</v>
      </c>
      <c r="E37" s="72" t="s">
        <v>2</v>
      </c>
      <c r="F37" s="72" t="s">
        <v>59</v>
      </c>
      <c r="G37" s="72" t="s">
        <v>60</v>
      </c>
      <c r="H37" s="72" t="s">
        <v>61</v>
      </c>
      <c r="I37" s="72" t="s">
        <v>68</v>
      </c>
      <c r="J37" s="72" t="s">
        <v>62</v>
      </c>
      <c r="K37" s="72" t="s">
        <v>63</v>
      </c>
      <c r="L37" s="72" t="s">
        <v>64</v>
      </c>
      <c r="M37" s="72" t="s">
        <v>65</v>
      </c>
      <c r="N37" s="73" t="s">
        <v>4</v>
      </c>
      <c r="O37" s="73" t="s">
        <v>5</v>
      </c>
      <c r="P37" s="73" t="s">
        <v>67</v>
      </c>
      <c r="Q37" s="73" t="s">
        <v>99</v>
      </c>
      <c r="R37" s="94" t="s">
        <v>69</v>
      </c>
    </row>
    <row r="38" spans="1:18" s="55" customFormat="1" x14ac:dyDescent="0.3">
      <c r="A38" s="147"/>
      <c r="B38" s="148"/>
      <c r="C38" s="148"/>
      <c r="D38" s="148"/>
      <c r="E38" s="148"/>
      <c r="F38" s="148"/>
      <c r="G38" s="148"/>
      <c r="H38" s="148"/>
      <c r="I38" s="149" t="str">
        <f>CONCATENATE(Table_Query_from_MS_Access_Database_2[RTE],Table_Query_from_MS_Access_Database_2[SEC],Table_Query_from_MS_Access_Database_2[SEQ])</f>
        <v/>
      </c>
      <c r="J38" s="148"/>
      <c r="K38" s="148"/>
      <c r="L38" s="148"/>
      <c r="M38" s="148"/>
      <c r="N38" s="120"/>
      <c r="O38" s="151"/>
      <c r="P38" s="120"/>
      <c r="Q38" s="146">
        <f>+SUM(Table_Query_from_MS_Access_Database_2[[#This Row],[HSIP]:[STP OTHER]])</f>
        <v>0</v>
      </c>
      <c r="R38" s="150">
        <f>R32</f>
        <v>2138.7900000000081</v>
      </c>
    </row>
    <row r="39" spans="1:18" s="55" customFormat="1" x14ac:dyDescent="0.3">
      <c r="A39" s="58"/>
      <c r="B39" s="58"/>
      <c r="C39" s="58"/>
      <c r="D39" s="58"/>
      <c r="E39" s="58"/>
      <c r="F39" s="58"/>
      <c r="G39" s="58"/>
      <c r="H39" s="58"/>
      <c r="I39" s="58"/>
      <c r="J39" s="74"/>
      <c r="K39" s="74"/>
      <c r="L39" s="74"/>
      <c r="M39" s="61" t="s">
        <v>100</v>
      </c>
      <c r="N39" s="118">
        <f>SUM(Table_Query_from_MS_Access_Database_2[[#All],[HSIP]])</f>
        <v>0</v>
      </c>
      <c r="O39" s="118">
        <f>SUM(Table_Query_from_MS_Access_Database_2[[#All],[SPR]])</f>
        <v>0</v>
      </c>
      <c r="P39" s="118">
        <f>SUM(Table_Query_from_MS_Access_Database_2[[#All],[STP OTHER]])</f>
        <v>0</v>
      </c>
      <c r="Q39" s="118">
        <f>SUM(Table_Query_from_MS_Access_Database_2[[#All],[TOTAL OF AMOUNT]])</f>
        <v>0</v>
      </c>
      <c r="R39" s="119"/>
    </row>
    <row r="40" spans="1:18" s="55" customFormat="1" x14ac:dyDescent="0.3">
      <c r="A40" s="58"/>
      <c r="B40" s="76"/>
      <c r="C40" s="76"/>
      <c r="D40" s="76"/>
      <c r="E40" s="58"/>
      <c r="F40" s="58"/>
      <c r="G40" s="58"/>
      <c r="H40" s="58"/>
      <c r="I40" s="58"/>
      <c r="J40" s="74"/>
      <c r="K40" s="74"/>
      <c r="L40" s="74"/>
      <c r="M40" s="63" t="s">
        <v>91</v>
      </c>
      <c r="N40" s="120">
        <f>+N34-N39</f>
        <v>60512.722117184065</v>
      </c>
      <c r="O40" s="120">
        <f>+O34-O39</f>
        <v>0.5</v>
      </c>
      <c r="P40" s="120">
        <f>+P34-P39</f>
        <v>-0.4944207159569487</v>
      </c>
      <c r="Q40" s="120">
        <f>+Q34-Q39</f>
        <v>60512.727696468122</v>
      </c>
      <c r="R40" s="121"/>
    </row>
    <row r="41" spans="1:18" s="55" customFormat="1" x14ac:dyDescent="0.3">
      <c r="J41" s="56"/>
      <c r="K41" s="56"/>
      <c r="L41" s="56"/>
      <c r="M41" s="56"/>
      <c r="N41" s="57"/>
      <c r="O41" s="57"/>
      <c r="P41" s="57"/>
      <c r="Q41" s="57"/>
    </row>
    <row r="42" spans="1:18" s="55" customFormat="1" x14ac:dyDescent="0.3">
      <c r="J42" s="56"/>
      <c r="K42" s="56"/>
      <c r="L42" s="56"/>
      <c r="M42" s="56"/>
      <c r="N42" s="57"/>
      <c r="O42" s="57"/>
      <c r="P42" s="57"/>
      <c r="Q42" s="57"/>
    </row>
    <row r="43" spans="1:18" s="55" customFormat="1" ht="16.8" x14ac:dyDescent="0.3">
      <c r="A43" s="77" t="s">
        <v>129</v>
      </c>
      <c r="J43" s="56"/>
      <c r="K43" s="56"/>
      <c r="L43" s="56"/>
      <c r="M43" s="56"/>
      <c r="N43" s="194" t="s">
        <v>74</v>
      </c>
      <c r="O43" s="194"/>
      <c r="P43" s="194"/>
      <c r="Q43" s="194"/>
      <c r="R43" s="66"/>
    </row>
    <row r="44" spans="1:18" s="55" customFormat="1" x14ac:dyDescent="0.3">
      <c r="J44" s="56"/>
      <c r="K44" s="56"/>
      <c r="L44" s="56"/>
      <c r="M44" s="78"/>
      <c r="N44" s="84" t="s">
        <v>4</v>
      </c>
      <c r="O44" s="84" t="s">
        <v>5</v>
      </c>
      <c r="P44" s="84" t="s">
        <v>75</v>
      </c>
      <c r="Q44" s="84" t="s">
        <v>70</v>
      </c>
      <c r="R44" s="86" t="s">
        <v>76</v>
      </c>
    </row>
    <row r="45" spans="1:18" s="55" customFormat="1" x14ac:dyDescent="0.3">
      <c r="A45" s="58"/>
      <c r="B45" s="58"/>
      <c r="C45" s="58"/>
      <c r="D45" s="58"/>
      <c r="E45" s="58"/>
      <c r="F45" s="58"/>
      <c r="G45" s="58"/>
      <c r="H45" s="58"/>
      <c r="I45" s="58"/>
      <c r="J45" s="74"/>
      <c r="K45" s="74"/>
      <c r="L45" s="74"/>
      <c r="M45" s="107" t="s">
        <v>156</v>
      </c>
      <c r="N45" s="111">
        <f>+N40</f>
        <v>60512.722117184065</v>
      </c>
      <c r="O45" s="111">
        <f>+O40</f>
        <v>0.5</v>
      </c>
      <c r="P45" s="111">
        <f>+P40</f>
        <v>-0.4944207159569487</v>
      </c>
      <c r="Q45" s="111">
        <f>+N45+O45+P45</f>
        <v>60512.727696468108</v>
      </c>
      <c r="R45" s="112">
        <f>R38</f>
        <v>2138.7900000000081</v>
      </c>
    </row>
    <row r="46" spans="1:18" s="55" customFormat="1" x14ac:dyDescent="0.3">
      <c r="A46" s="58"/>
      <c r="B46" s="58"/>
      <c r="C46" s="58"/>
      <c r="D46" s="58"/>
      <c r="E46" s="58"/>
      <c r="F46" s="58"/>
      <c r="G46" s="58"/>
      <c r="H46" s="58"/>
      <c r="I46" s="58"/>
      <c r="J46" s="74"/>
      <c r="K46" s="74"/>
      <c r="L46" s="74"/>
      <c r="M46" s="107" t="s">
        <v>157</v>
      </c>
      <c r="N46" s="113">
        <f>SUMIFS(Table_Query_from_MS_Access_Database[[#All],[HSIP]],Table_Query_from_MS_Access_Database[[#All],[Transaction Year]],"2015",Table_Query_from_MS_Access_Database[[#All],[Transaction Type]],"Lapsing")</f>
        <v>0</v>
      </c>
      <c r="O46" s="113">
        <f>SUMIFS(Table_Query_from_MS_Access_Database[[#All],[SPR]],Table_Query_from_MS_Access_Database[[#All],[Transaction Year]],"2015",Table_Query_from_MS_Access_Database[[#All],[Transaction Type]],"Lapsing")</f>
        <v>0</v>
      </c>
      <c r="P46" s="113">
        <f>SUMIFS(Table_Query_from_MS_Access_Database[[#All],[STP other]],Table_Query_from_MS_Access_Database[[#All],[Transaction Year]],"2015",Table_Query_from_MS_Access_Database[[#All],[Transaction Type]],"Lapsing")</f>
        <v>0</v>
      </c>
      <c r="Q46" s="113">
        <f>SUM(N46:P46)</f>
        <v>0</v>
      </c>
      <c r="R46" s="114">
        <f>SUMIFS(Table_Query_from_MS_Access_Database_16[[#All],[Total]],Table_Query_from_MS_Access_Database_16[[#All],[Transaction Year]],"2015",Table_Query_from_MS_Access_Database_16[[#All],[Transaction Type]],"Lapsing")</f>
        <v>0</v>
      </c>
    </row>
    <row r="47" spans="1:18" s="55" customFormat="1" x14ac:dyDescent="0.3">
      <c r="A47" s="58"/>
      <c r="B47" s="58"/>
      <c r="C47" s="58"/>
      <c r="D47" s="58"/>
      <c r="E47" s="58"/>
      <c r="F47" s="58"/>
      <c r="G47" s="58"/>
      <c r="H47" s="58"/>
      <c r="I47" s="58"/>
      <c r="J47" s="74"/>
      <c r="K47" s="74"/>
      <c r="L47" s="74"/>
      <c r="M47" s="107" t="s">
        <v>158</v>
      </c>
      <c r="N47" s="115">
        <f>SUM(N45:N46)</f>
        <v>60512.722117184065</v>
      </c>
      <c r="O47" s="115">
        <f>SUM(O45:O46)</f>
        <v>0.5</v>
      </c>
      <c r="P47" s="115">
        <f>SUM(P45:P46)</f>
        <v>-0.4944207159569487</v>
      </c>
      <c r="Q47" s="115">
        <f>SUM(N47:P47)</f>
        <v>60512.727696468108</v>
      </c>
      <c r="R47" s="115">
        <f>R45-R48</f>
        <v>0.27000000000816726</v>
      </c>
    </row>
    <row r="48" spans="1:18" s="55" customFormat="1" x14ac:dyDescent="0.3">
      <c r="A48" s="58"/>
      <c r="B48" s="58"/>
      <c r="C48" s="58"/>
      <c r="D48" s="58"/>
      <c r="E48" s="58"/>
      <c r="F48" s="58"/>
      <c r="G48" s="58"/>
      <c r="H48" s="58"/>
      <c r="I48" s="58"/>
      <c r="J48" s="74"/>
      <c r="K48" s="74"/>
      <c r="L48" s="74"/>
      <c r="M48" s="108" t="s">
        <v>159</v>
      </c>
      <c r="N48" s="116">
        <v>0</v>
      </c>
      <c r="O48" s="116">
        <v>0</v>
      </c>
      <c r="P48" s="116">
        <v>0</v>
      </c>
      <c r="Q48" s="116">
        <v>0</v>
      </c>
      <c r="R48" s="116">
        <v>2138.52</v>
      </c>
    </row>
    <row r="49" spans="1:18" s="55" customFormat="1" x14ac:dyDescent="0.3">
      <c r="J49" s="56"/>
      <c r="K49" s="56"/>
      <c r="L49" s="56"/>
      <c r="M49" s="56"/>
      <c r="N49" s="57"/>
      <c r="O49" s="57"/>
      <c r="P49" s="57"/>
      <c r="Q49" s="57"/>
    </row>
    <row r="50" spans="1:18" s="55" customFormat="1" x14ac:dyDescent="0.3">
      <c r="A50" s="28"/>
      <c r="B50" s="28"/>
      <c r="C50" s="28"/>
      <c r="D50" s="28"/>
      <c r="E50" s="28"/>
      <c r="F50" s="28"/>
      <c r="G50" s="28"/>
      <c r="H50" s="28"/>
      <c r="I50" s="28"/>
      <c r="J50" s="29"/>
      <c r="K50" s="29"/>
      <c r="L50" s="29"/>
      <c r="M50" s="29"/>
      <c r="N50" s="31"/>
      <c r="O50" s="31"/>
      <c r="P50" s="31"/>
      <c r="Q50" s="31"/>
      <c r="R50" s="28"/>
    </row>
    <row r="51" spans="1:18" s="55" customFormat="1" x14ac:dyDescent="0.3">
      <c r="A51" s="28"/>
      <c r="B51" s="28"/>
      <c r="C51" s="28"/>
      <c r="D51" s="28"/>
      <c r="E51" s="28"/>
      <c r="F51" s="28"/>
      <c r="G51" s="28"/>
      <c r="H51" s="28"/>
      <c r="I51" s="28"/>
      <c r="J51" s="29"/>
      <c r="K51" s="29"/>
      <c r="L51" s="29"/>
      <c r="M51" s="29"/>
      <c r="N51" s="31"/>
      <c r="O51" s="31"/>
      <c r="P51" s="31"/>
      <c r="Q51" s="31"/>
      <c r="R51" s="28"/>
    </row>
    <row r="52" spans="1:18" s="55" customFormat="1" x14ac:dyDescent="0.3">
      <c r="A52" s="28"/>
      <c r="B52" s="28"/>
      <c r="C52" s="28"/>
      <c r="D52" s="28"/>
      <c r="E52" s="28"/>
      <c r="F52" s="28"/>
      <c r="G52" s="28"/>
      <c r="H52" s="28"/>
      <c r="I52" s="28"/>
      <c r="J52" s="29"/>
      <c r="K52" s="29"/>
      <c r="L52" s="29"/>
      <c r="M52" s="29"/>
      <c r="N52" s="31"/>
      <c r="O52" s="31"/>
      <c r="P52" s="31"/>
      <c r="Q52" s="31"/>
      <c r="R52" s="28"/>
    </row>
    <row r="53" spans="1:18" s="55" customFormat="1" x14ac:dyDescent="0.3">
      <c r="A53" s="28"/>
      <c r="B53" s="28"/>
      <c r="C53" s="28"/>
      <c r="D53" s="28"/>
      <c r="E53" s="28"/>
      <c r="F53" s="28"/>
      <c r="G53" s="28"/>
      <c r="H53" s="28"/>
      <c r="I53" s="28"/>
      <c r="J53" s="29"/>
      <c r="K53" s="29"/>
      <c r="L53" s="29"/>
      <c r="M53" s="29"/>
      <c r="N53" s="31"/>
      <c r="O53" s="31"/>
      <c r="P53" s="31"/>
      <c r="Q53" s="31"/>
      <c r="R53" s="28"/>
    </row>
    <row r="54" spans="1:18" s="55" customFormat="1" x14ac:dyDescent="0.3">
      <c r="A54" s="28"/>
      <c r="B54" s="28"/>
      <c r="C54" s="28"/>
      <c r="D54" s="28"/>
      <c r="E54" s="28"/>
      <c r="F54" s="28"/>
      <c r="G54" s="28"/>
      <c r="H54" s="28"/>
      <c r="I54" s="28"/>
      <c r="J54" s="29"/>
      <c r="K54" s="29"/>
      <c r="L54" s="29"/>
      <c r="M54" s="29"/>
      <c r="N54" s="31"/>
      <c r="O54" s="31"/>
      <c r="P54" s="31"/>
      <c r="Q54" s="31"/>
      <c r="R54" s="28"/>
    </row>
    <row r="55" spans="1:18" s="55" customFormat="1" x14ac:dyDescent="0.3">
      <c r="A55" s="28"/>
      <c r="B55" s="28"/>
      <c r="C55" s="28"/>
      <c r="D55" s="28"/>
      <c r="E55" s="28"/>
      <c r="F55" s="28"/>
      <c r="G55" s="28"/>
      <c r="H55" s="28"/>
      <c r="I55" s="28"/>
      <c r="J55" s="29"/>
      <c r="K55" s="29"/>
      <c r="L55" s="29"/>
      <c r="M55" s="29"/>
      <c r="N55" s="31"/>
      <c r="O55" s="31"/>
      <c r="P55" s="31"/>
      <c r="Q55" s="31"/>
      <c r="R55" s="28"/>
    </row>
    <row r="56" spans="1:18" s="55" customFormat="1" x14ac:dyDescent="0.3">
      <c r="A56" s="28"/>
      <c r="B56" s="28"/>
      <c r="C56" s="28"/>
      <c r="D56" s="28"/>
      <c r="E56" s="28"/>
      <c r="F56" s="28"/>
      <c r="G56" s="28"/>
      <c r="H56" s="28"/>
      <c r="I56" s="28"/>
      <c r="J56" s="29"/>
      <c r="K56" s="29"/>
      <c r="L56" s="29"/>
      <c r="M56" s="29"/>
      <c r="N56" s="31"/>
      <c r="O56" s="31"/>
      <c r="P56" s="31"/>
      <c r="Q56" s="31"/>
      <c r="R56" s="28"/>
    </row>
    <row r="57" spans="1:18" s="58" customFormat="1" x14ac:dyDescent="0.3">
      <c r="A57" s="28"/>
      <c r="B57" s="28"/>
      <c r="C57" s="28"/>
      <c r="D57" s="28"/>
      <c r="E57" s="28"/>
      <c r="F57" s="28"/>
      <c r="G57" s="28"/>
      <c r="H57" s="28"/>
      <c r="I57" s="28"/>
      <c r="J57" s="29"/>
      <c r="K57" s="29"/>
      <c r="L57" s="29"/>
      <c r="M57" s="29"/>
      <c r="N57" s="31"/>
      <c r="O57" s="31"/>
      <c r="P57" s="31"/>
      <c r="Q57" s="31"/>
      <c r="R57" s="28"/>
    </row>
    <row r="58" spans="1:18" s="58" customFormat="1" x14ac:dyDescent="0.3">
      <c r="A58" s="28"/>
      <c r="B58" s="28"/>
      <c r="C58" s="28"/>
      <c r="D58" s="28"/>
      <c r="E58" s="28"/>
      <c r="F58" s="28"/>
      <c r="G58" s="28"/>
      <c r="H58" s="28"/>
      <c r="I58" s="28"/>
      <c r="J58" s="29"/>
      <c r="K58" s="29"/>
      <c r="L58" s="29"/>
      <c r="M58" s="29"/>
      <c r="N58" s="31"/>
      <c r="O58" s="31"/>
      <c r="P58" s="31"/>
      <c r="Q58" s="31"/>
      <c r="R58" s="28"/>
    </row>
    <row r="59" spans="1:18" s="58" customFormat="1" x14ac:dyDescent="0.3">
      <c r="A59" s="28"/>
      <c r="B59" s="28"/>
      <c r="C59" s="28"/>
      <c r="D59" s="28"/>
      <c r="E59" s="28"/>
      <c r="F59" s="28"/>
      <c r="G59" s="28"/>
      <c r="H59" s="28"/>
      <c r="I59" s="28"/>
      <c r="J59" s="29"/>
      <c r="K59" s="29"/>
      <c r="L59" s="29"/>
      <c r="M59" s="29"/>
      <c r="N59" s="31"/>
      <c r="O59" s="31"/>
      <c r="P59" s="31"/>
      <c r="Q59" s="31"/>
      <c r="R59" s="28"/>
    </row>
    <row r="60" spans="1:18" s="58" customFormat="1" x14ac:dyDescent="0.3">
      <c r="A60" s="28"/>
      <c r="B60" s="28"/>
      <c r="C60" s="28"/>
      <c r="D60" s="28"/>
      <c r="E60" s="28"/>
      <c r="F60" s="28"/>
      <c r="G60" s="28"/>
      <c r="H60" s="28"/>
      <c r="I60" s="28"/>
      <c r="J60" s="29"/>
      <c r="K60" s="29"/>
      <c r="L60" s="29"/>
      <c r="M60" s="29"/>
      <c r="N60" s="31"/>
      <c r="O60" s="31"/>
      <c r="P60" s="31"/>
      <c r="Q60" s="31"/>
      <c r="R60" s="28"/>
    </row>
    <row r="61" spans="1:18" s="55" customFormat="1" x14ac:dyDescent="0.3">
      <c r="A61" s="28"/>
      <c r="B61" s="28"/>
      <c r="C61" s="28"/>
      <c r="D61" s="28"/>
      <c r="E61" s="28"/>
      <c r="F61" s="28"/>
      <c r="G61" s="28"/>
      <c r="H61" s="28"/>
      <c r="I61" s="28"/>
      <c r="J61" s="29"/>
      <c r="K61" s="29"/>
      <c r="L61" s="29"/>
      <c r="M61" s="29"/>
      <c r="N61" s="31"/>
      <c r="O61" s="31"/>
      <c r="P61" s="31"/>
      <c r="Q61" s="31"/>
      <c r="R61" s="28"/>
    </row>
  </sheetData>
  <sheetProtection autoFilter="0"/>
  <mergeCells count="10">
    <mergeCell ref="N43:Q43"/>
    <mergeCell ref="A1:F1"/>
    <mergeCell ref="A14:D14"/>
    <mergeCell ref="O2:R2"/>
    <mergeCell ref="A9:L9"/>
    <mergeCell ref="N1:S1"/>
    <mergeCell ref="A3:D3"/>
    <mergeCell ref="A4:D4"/>
    <mergeCell ref="J14:M14"/>
    <mergeCell ref="A36:D36"/>
  </mergeCells>
  <pageMargins left="0.5" right="0.25" top="0.75" bottom="0.75" header="0.3" footer="0.3"/>
  <pageSetup paperSize="17" scale="79" fitToHeight="0" orientation="landscape" horizontalDpi="1200" verticalDpi="1200" r:id="rId1"/>
  <headerFooter>
    <oddFooter>&amp;L&amp;8&amp;Z&amp;F&amp;R&amp;P of &amp;N</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Z52"/>
  <sheetViews>
    <sheetView topLeftCell="A4" zoomScaleNormal="100" workbookViewId="0">
      <selection activeCell="F19" sqref="F19"/>
    </sheetView>
  </sheetViews>
  <sheetFormatPr defaultColWidth="19.6640625" defaultRowHeight="14.4" x14ac:dyDescent="0.3"/>
  <cols>
    <col min="1" max="1" width="17.6640625" style="24" customWidth="1"/>
    <col min="2" max="2" width="18.109375" style="24" customWidth="1"/>
    <col min="3" max="3" width="12.109375" style="24" customWidth="1"/>
    <col min="4" max="4" width="17.5546875" style="24" customWidth="1"/>
    <col min="5" max="5" width="11.6640625" style="24" customWidth="1"/>
    <col min="6" max="6" width="9.109375" style="24" customWidth="1"/>
    <col min="7" max="7" width="12.5546875" style="24" customWidth="1"/>
    <col min="8" max="8" width="11.6640625" style="24" customWidth="1"/>
    <col min="9" max="9" width="5.6640625" style="24" customWidth="1"/>
    <col min="10" max="10" width="6.88671875" style="24" customWidth="1"/>
    <col min="11" max="11" width="11.77734375" style="24" customWidth="1"/>
    <col min="12" max="12" width="15.6640625" style="24" customWidth="1"/>
    <col min="13" max="13" width="10.88671875" style="24" customWidth="1"/>
    <col min="14" max="14" width="14.6640625" style="24" customWidth="1"/>
    <col min="15" max="16" width="9.109375" style="24" customWidth="1"/>
    <col min="17" max="17" width="10.6640625" style="24" customWidth="1"/>
    <col min="18" max="18" width="55.88671875" style="24" customWidth="1"/>
    <col min="19" max="19" width="10" style="24" customWidth="1"/>
    <col min="20" max="20" width="7" style="24" customWidth="1"/>
    <col min="21" max="21" width="13.109375" style="24" customWidth="1"/>
    <col min="22" max="22" width="60.109375" style="24" customWidth="1"/>
    <col min="23" max="23" width="13" style="24" customWidth="1"/>
    <col min="24" max="24" width="16.88671875" style="24" customWidth="1"/>
    <col min="25" max="25" width="12.109375" style="24" customWidth="1"/>
    <col min="26" max="26" width="16" style="24" customWidth="1"/>
    <col min="27" max="16384" width="19.6640625" style="125"/>
  </cols>
  <sheetData>
    <row r="1" spans="1:26" ht="18" x14ac:dyDescent="0.3">
      <c r="A1" s="206" t="str">
        <f>+'Federal Funds Transactions'!A1:F1</f>
        <v>Central Arizona Goverments</v>
      </c>
      <c r="B1" s="206"/>
      <c r="C1" s="206"/>
      <c r="D1" s="206"/>
      <c r="E1" s="206"/>
      <c r="F1" s="206"/>
    </row>
    <row r="2" spans="1:26" x14ac:dyDescent="0.3">
      <c r="A2" s="25"/>
      <c r="B2" s="25"/>
      <c r="C2" s="25"/>
      <c r="D2" s="25"/>
      <c r="E2" s="25"/>
      <c r="F2" s="25"/>
    </row>
    <row r="3" spans="1:26" x14ac:dyDescent="0.3">
      <c r="A3" s="207" t="s">
        <v>96</v>
      </c>
      <c r="B3" s="207"/>
      <c r="C3" s="207"/>
      <c r="D3" s="207"/>
      <c r="E3" s="207"/>
      <c r="F3" s="207"/>
    </row>
    <row r="4" spans="1:26" x14ac:dyDescent="0.3">
      <c r="A4" s="123"/>
      <c r="B4" s="123"/>
      <c r="C4" s="123"/>
      <c r="D4" s="123"/>
      <c r="E4" s="123"/>
      <c r="F4" s="123"/>
    </row>
    <row r="5" spans="1:26" x14ac:dyDescent="0.3">
      <c r="A5" s="24" t="s">
        <v>95</v>
      </c>
      <c r="B5" s="109">
        <f>+'Federal Funds Transactions'!C5</f>
        <v>42643</v>
      </c>
      <c r="C5" s="25"/>
      <c r="D5" s="25"/>
      <c r="E5" s="25"/>
      <c r="F5" s="25"/>
    </row>
    <row r="6" spans="1:26" x14ac:dyDescent="0.3">
      <c r="A6" s="25"/>
      <c r="B6" s="25"/>
      <c r="C6" s="25"/>
      <c r="D6" s="25"/>
      <c r="E6" s="25"/>
      <c r="F6" s="25"/>
    </row>
    <row r="7" spans="1:26" ht="15" customHeight="1" x14ac:dyDescent="0.3">
      <c r="A7" s="210" t="str">
        <f>+'Federal Funds Transactions'!A9:L9</f>
        <v>IMPORTANT! Please review the information in the Notes tab for further explanation of the data in this document.</v>
      </c>
      <c r="B7" s="210"/>
      <c r="C7" s="210"/>
      <c r="D7" s="210"/>
      <c r="E7" s="210"/>
      <c r="F7" s="210"/>
      <c r="G7" s="210"/>
      <c r="H7" s="210"/>
    </row>
    <row r="9" spans="1:26" ht="15.75" customHeight="1" x14ac:dyDescent="0.3">
      <c r="A9" s="208" t="s">
        <v>124</v>
      </c>
      <c r="B9" s="208"/>
      <c r="C9" s="208"/>
      <c r="D9" s="208"/>
      <c r="E9" s="208"/>
      <c r="F9" s="208"/>
      <c r="G9" s="208"/>
      <c r="M9" s="26"/>
      <c r="N9" s="26"/>
      <c r="O9" s="26"/>
      <c r="P9" s="26"/>
      <c r="Q9" s="26"/>
      <c r="R9" s="26"/>
      <c r="S9" s="26"/>
      <c r="T9" s="26"/>
      <c r="U9" s="26"/>
      <c r="V9" s="26"/>
      <c r="W9" s="26"/>
      <c r="X9" s="26"/>
    </row>
    <row r="10" spans="1:26" ht="15.6" x14ac:dyDescent="0.3">
      <c r="A10" s="124"/>
      <c r="B10" s="124"/>
      <c r="C10" s="124"/>
      <c r="D10" s="124"/>
      <c r="E10" s="27"/>
      <c r="F10" s="27"/>
      <c r="G10" s="27"/>
      <c r="H10" s="27"/>
      <c r="I10" s="27"/>
      <c r="J10" s="27"/>
      <c r="K10" s="27"/>
      <c r="L10" s="27"/>
      <c r="M10" s="26"/>
      <c r="N10" s="26"/>
      <c r="O10" s="26"/>
      <c r="P10" s="26"/>
      <c r="Q10" s="26"/>
      <c r="R10" s="26"/>
      <c r="S10" s="26"/>
      <c r="T10" s="26"/>
      <c r="U10" s="26"/>
      <c r="V10" s="26"/>
      <c r="W10" s="26"/>
      <c r="X10" s="26"/>
      <c r="Y10" s="27"/>
      <c r="Z10" s="27"/>
    </row>
    <row r="11" spans="1:26" x14ac:dyDescent="0.3">
      <c r="A11" s="126" t="s">
        <v>50</v>
      </c>
      <c r="B11" s="127" t="s">
        <v>51</v>
      </c>
      <c r="C11" s="127" t="s">
        <v>13</v>
      </c>
      <c r="D11" s="127" t="s">
        <v>52</v>
      </c>
      <c r="E11" s="127" t="s">
        <v>10</v>
      </c>
      <c r="F11" s="127" t="s">
        <v>44</v>
      </c>
      <c r="G11" s="127" t="s">
        <v>45</v>
      </c>
      <c r="H11" s="127" t="s">
        <v>4</v>
      </c>
      <c r="I11" s="127" t="s">
        <v>46</v>
      </c>
      <c r="J11" s="127" t="s">
        <v>5</v>
      </c>
      <c r="K11" s="127" t="s">
        <v>6</v>
      </c>
      <c r="L11" s="127" t="s">
        <v>47</v>
      </c>
      <c r="M11" s="127" t="s">
        <v>48</v>
      </c>
      <c r="N11" s="127" t="s">
        <v>49</v>
      </c>
      <c r="O11" s="127" t="s">
        <v>103</v>
      </c>
      <c r="P11" s="127" t="s">
        <v>117</v>
      </c>
      <c r="Q11" s="127" t="s">
        <v>118</v>
      </c>
      <c r="R11" s="128" t="s">
        <v>119</v>
      </c>
      <c r="S11" s="27"/>
      <c r="T11" s="27"/>
      <c r="U11" s="27"/>
      <c r="V11" s="27"/>
      <c r="W11" s="125"/>
      <c r="X11" s="125"/>
      <c r="Y11" s="125"/>
      <c r="Z11" s="125"/>
    </row>
    <row r="12" spans="1:26" x14ac:dyDescent="0.3">
      <c r="A12" s="126" t="s">
        <v>36</v>
      </c>
      <c r="B12" s="127" t="s">
        <v>54</v>
      </c>
      <c r="C12" s="127" t="s">
        <v>56</v>
      </c>
      <c r="D12" s="127" t="s">
        <v>57</v>
      </c>
      <c r="E12" s="127">
        <v>-565445</v>
      </c>
      <c r="F12" s="127"/>
      <c r="G12" s="127"/>
      <c r="H12" s="127"/>
      <c r="I12" s="127"/>
      <c r="J12" s="127"/>
      <c r="K12" s="127">
        <v>-565445</v>
      </c>
      <c r="L12" s="127"/>
      <c r="M12" s="127"/>
      <c r="N12" s="128"/>
      <c r="O12" s="129" t="s">
        <v>55</v>
      </c>
      <c r="P12" s="130" t="s">
        <v>53</v>
      </c>
      <c r="Q12" s="130"/>
      <c r="R12" s="131" t="s">
        <v>58</v>
      </c>
      <c r="S12" s="132"/>
      <c r="T12" s="132"/>
      <c r="U12" s="132"/>
      <c r="V12" s="132"/>
      <c r="W12" s="125"/>
      <c r="X12" s="125"/>
      <c r="Y12" s="125"/>
      <c r="Z12" s="125"/>
    </row>
    <row r="13" spans="1:26" x14ac:dyDescent="0.3">
      <c r="A13" s="133" t="s">
        <v>109</v>
      </c>
      <c r="B13" s="134" t="s">
        <v>120</v>
      </c>
      <c r="C13" s="134" t="s">
        <v>121</v>
      </c>
      <c r="D13" s="134" t="s">
        <v>57</v>
      </c>
      <c r="E13" s="134">
        <v>-191544.08</v>
      </c>
      <c r="F13" s="134"/>
      <c r="G13" s="134"/>
      <c r="H13" s="134">
        <v>-42965.96</v>
      </c>
      <c r="I13" s="134"/>
      <c r="J13" s="134"/>
      <c r="K13" s="134">
        <v>-148578.12</v>
      </c>
      <c r="L13" s="134"/>
      <c r="M13" s="134"/>
      <c r="N13" s="135"/>
      <c r="O13" s="134" t="s">
        <v>55</v>
      </c>
      <c r="P13" s="134" t="s">
        <v>108</v>
      </c>
      <c r="Q13" s="134"/>
      <c r="R13" s="135" t="s">
        <v>122</v>
      </c>
      <c r="S13" s="132"/>
      <c r="T13" s="132"/>
      <c r="U13" s="132"/>
      <c r="V13" s="132"/>
      <c r="W13" s="125"/>
      <c r="X13" s="125"/>
      <c r="Y13" s="125"/>
      <c r="Z13" s="125"/>
    </row>
    <row r="14" spans="1:26" x14ac:dyDescent="0.3">
      <c r="A14" s="136" t="s">
        <v>109</v>
      </c>
      <c r="B14" s="136" t="s">
        <v>130</v>
      </c>
      <c r="C14" s="136" t="s">
        <v>131</v>
      </c>
      <c r="D14" s="136" t="s">
        <v>132</v>
      </c>
      <c r="E14" s="136">
        <v>-75440</v>
      </c>
      <c r="F14" s="136"/>
      <c r="G14" s="136"/>
      <c r="H14" s="136"/>
      <c r="I14" s="136"/>
      <c r="J14" s="136"/>
      <c r="K14" s="136">
        <v>-75440</v>
      </c>
      <c r="L14" s="136"/>
      <c r="M14" s="136"/>
      <c r="N14" s="136"/>
      <c r="O14" s="136" t="s">
        <v>55</v>
      </c>
      <c r="P14" s="136" t="s">
        <v>108</v>
      </c>
      <c r="Q14" s="136" t="s">
        <v>133</v>
      </c>
      <c r="R14" s="136" t="s">
        <v>134</v>
      </c>
      <c r="S14" s="132"/>
      <c r="T14" s="132"/>
      <c r="U14" s="132"/>
      <c r="V14" s="132"/>
      <c r="W14" s="125"/>
      <c r="X14" s="125"/>
      <c r="Y14" s="125"/>
      <c r="Z14" s="125"/>
    </row>
    <row r="15" spans="1:26" x14ac:dyDescent="0.3">
      <c r="A15" s="137" t="s">
        <v>109</v>
      </c>
      <c r="B15" s="138" t="s">
        <v>54</v>
      </c>
      <c r="C15" s="138" t="s">
        <v>110</v>
      </c>
      <c r="D15" s="138" t="s">
        <v>57</v>
      </c>
      <c r="E15" s="138">
        <v>-158061</v>
      </c>
      <c r="F15" s="138"/>
      <c r="G15" s="138"/>
      <c r="H15" s="138"/>
      <c r="I15" s="138"/>
      <c r="J15" s="138"/>
      <c r="K15" s="138">
        <v>-158061</v>
      </c>
      <c r="L15" s="138"/>
      <c r="M15" s="138"/>
      <c r="N15" s="139"/>
      <c r="O15" s="138" t="s">
        <v>55</v>
      </c>
      <c r="P15" s="138" t="s">
        <v>111</v>
      </c>
      <c r="Q15" s="138" t="s">
        <v>112</v>
      </c>
      <c r="R15" s="139" t="s">
        <v>113</v>
      </c>
      <c r="S15" s="132"/>
      <c r="T15" s="132"/>
      <c r="U15" s="132"/>
      <c r="V15" s="132"/>
      <c r="W15" s="125"/>
      <c r="X15" s="125"/>
      <c r="Y15" s="125"/>
      <c r="Z15" s="125"/>
    </row>
    <row r="16" spans="1:26" x14ac:dyDescent="0.3">
      <c r="A16" s="140" t="s">
        <v>132</v>
      </c>
      <c r="B16" s="140" t="s">
        <v>144</v>
      </c>
      <c r="C16" s="140" t="s">
        <v>145</v>
      </c>
      <c r="D16" s="140" t="s">
        <v>146</v>
      </c>
      <c r="E16" s="140">
        <v>113148</v>
      </c>
      <c r="F16" s="140"/>
      <c r="G16" s="140"/>
      <c r="H16" s="140">
        <v>113148</v>
      </c>
      <c r="I16" s="140"/>
      <c r="J16" s="140"/>
      <c r="K16" s="140"/>
      <c r="L16" s="140"/>
      <c r="M16" s="140"/>
      <c r="N16" s="140"/>
      <c r="O16" s="140" t="s">
        <v>111</v>
      </c>
      <c r="P16" s="140" t="s">
        <v>55</v>
      </c>
      <c r="Q16" s="140"/>
      <c r="R16" s="140" t="s">
        <v>147</v>
      </c>
      <c r="S16" s="132"/>
      <c r="T16" s="132"/>
      <c r="U16" s="132"/>
      <c r="V16" s="132"/>
      <c r="W16" s="125"/>
      <c r="X16" s="125"/>
      <c r="Y16" s="125"/>
      <c r="Z16" s="125"/>
    </row>
    <row r="17" spans="1:26" x14ac:dyDescent="0.3">
      <c r="A17" s="141" t="s">
        <v>132</v>
      </c>
      <c r="B17" s="141" t="s">
        <v>130</v>
      </c>
      <c r="C17" s="141" t="s">
        <v>140</v>
      </c>
      <c r="D17" s="141" t="s">
        <v>142</v>
      </c>
      <c r="E17" s="141">
        <v>-170964</v>
      </c>
      <c r="F17" s="141"/>
      <c r="G17" s="141"/>
      <c r="H17" s="141">
        <v>-170964</v>
      </c>
      <c r="I17" s="141"/>
      <c r="J17" s="141"/>
      <c r="K17" s="141"/>
      <c r="L17" s="141"/>
      <c r="M17" s="141"/>
      <c r="N17" s="141"/>
      <c r="O17" s="141" t="s">
        <v>55</v>
      </c>
      <c r="P17" s="141" t="s">
        <v>141</v>
      </c>
      <c r="Q17" s="141"/>
      <c r="R17" s="141" t="s">
        <v>143</v>
      </c>
      <c r="S17" s="132"/>
      <c r="T17" s="132"/>
      <c r="U17" s="132"/>
      <c r="V17" s="132"/>
      <c r="W17" s="125"/>
      <c r="X17" s="125"/>
      <c r="Y17" s="125"/>
      <c r="Z17" s="125"/>
    </row>
    <row r="18" spans="1:26" x14ac:dyDescent="0.3">
      <c r="A18" s="141" t="s">
        <v>149</v>
      </c>
      <c r="B18" s="141" t="s">
        <v>130</v>
      </c>
      <c r="C18" s="141" t="s">
        <v>221</v>
      </c>
      <c r="D18" s="141" t="s">
        <v>146</v>
      </c>
      <c r="E18" s="141">
        <v>-119444</v>
      </c>
      <c r="F18" s="141"/>
      <c r="G18" s="141"/>
      <c r="H18" s="141">
        <v>-119444</v>
      </c>
      <c r="I18" s="141"/>
      <c r="J18" s="141"/>
      <c r="K18" s="141"/>
      <c r="L18" s="141"/>
      <c r="M18" s="141"/>
      <c r="N18" s="141"/>
      <c r="O18" s="141" t="s">
        <v>55</v>
      </c>
      <c r="P18" s="141" t="s">
        <v>108</v>
      </c>
      <c r="Q18" s="141"/>
      <c r="R18" s="141" t="s">
        <v>223</v>
      </c>
      <c r="S18" s="132"/>
      <c r="T18" s="132"/>
      <c r="U18" s="132"/>
      <c r="V18" s="132"/>
      <c r="W18" s="125"/>
      <c r="X18" s="125"/>
      <c r="Y18" s="125"/>
      <c r="Z18" s="125"/>
    </row>
    <row r="19" spans="1:26" x14ac:dyDescent="0.3">
      <c r="A19" s="141" t="s">
        <v>149</v>
      </c>
      <c r="B19" s="141" t="s">
        <v>130</v>
      </c>
      <c r="C19" s="141" t="s">
        <v>221</v>
      </c>
      <c r="D19" s="141" t="s">
        <v>146</v>
      </c>
      <c r="E19" s="141">
        <v>-108573</v>
      </c>
      <c r="F19" s="141"/>
      <c r="G19" s="141"/>
      <c r="H19" s="141"/>
      <c r="I19" s="141"/>
      <c r="J19" s="141"/>
      <c r="K19" s="141">
        <v>-108573</v>
      </c>
      <c r="L19" s="141"/>
      <c r="M19" s="141"/>
      <c r="N19" s="141"/>
      <c r="O19" s="141" t="s">
        <v>55</v>
      </c>
      <c r="P19" s="141" t="s">
        <v>108</v>
      </c>
      <c r="Q19" s="141"/>
      <c r="R19" s="141" t="s">
        <v>222</v>
      </c>
    </row>
    <row r="20" spans="1:26" x14ac:dyDescent="0.3">
      <c r="A20" s="141" t="s">
        <v>149</v>
      </c>
      <c r="B20" s="141" t="s">
        <v>130</v>
      </c>
      <c r="C20" s="141" t="s">
        <v>224</v>
      </c>
      <c r="D20" s="141" t="s">
        <v>146</v>
      </c>
      <c r="E20" s="141">
        <v>-412967</v>
      </c>
      <c r="F20" s="141"/>
      <c r="G20" s="141"/>
      <c r="H20" s="141">
        <v>-412967</v>
      </c>
      <c r="I20" s="141"/>
      <c r="J20" s="141"/>
      <c r="K20" s="141"/>
      <c r="L20" s="141"/>
      <c r="M20" s="141"/>
      <c r="N20" s="141"/>
      <c r="O20" s="141" t="s">
        <v>55</v>
      </c>
      <c r="P20" s="141" t="s">
        <v>108</v>
      </c>
      <c r="Q20" s="141"/>
      <c r="R20" s="141" t="s">
        <v>223</v>
      </c>
    </row>
    <row r="21" spans="1:26" x14ac:dyDescent="0.3">
      <c r="A21" s="173" t="s">
        <v>149</v>
      </c>
      <c r="B21" s="173" t="s">
        <v>130</v>
      </c>
      <c r="C21" s="173" t="s">
        <v>231</v>
      </c>
      <c r="D21" s="173" t="s">
        <v>146</v>
      </c>
      <c r="E21" s="173">
        <v>-225160</v>
      </c>
      <c r="F21" s="173"/>
      <c r="G21" s="173"/>
      <c r="H21" s="173"/>
      <c r="I21" s="173"/>
      <c r="J21" s="173"/>
      <c r="K21" s="173">
        <v>-225160</v>
      </c>
      <c r="L21" s="173"/>
      <c r="M21" s="173"/>
      <c r="N21" s="173"/>
      <c r="O21" s="173" t="s">
        <v>55</v>
      </c>
      <c r="P21" s="173" t="s">
        <v>108</v>
      </c>
      <c r="Q21" s="173"/>
      <c r="R21" s="173" t="s">
        <v>222</v>
      </c>
    </row>
    <row r="22" spans="1:26" x14ac:dyDescent="0.3">
      <c r="A22" s="174" t="s">
        <v>149</v>
      </c>
      <c r="B22" s="174" t="s">
        <v>135</v>
      </c>
      <c r="C22" s="174" t="s">
        <v>131</v>
      </c>
      <c r="D22" s="174" t="s">
        <v>149</v>
      </c>
      <c r="E22" s="174">
        <v>75440</v>
      </c>
      <c r="F22" s="174"/>
      <c r="G22" s="174"/>
      <c r="H22" s="174"/>
      <c r="I22" s="174"/>
      <c r="J22" s="174"/>
      <c r="K22" s="174">
        <v>75440</v>
      </c>
      <c r="L22" s="174"/>
      <c r="M22" s="174"/>
      <c r="N22" s="174"/>
      <c r="O22" s="174" t="s">
        <v>108</v>
      </c>
      <c r="P22" s="174" t="s">
        <v>55</v>
      </c>
      <c r="Q22" s="174" t="s">
        <v>133</v>
      </c>
      <c r="R22" s="174" t="s">
        <v>134</v>
      </c>
    </row>
    <row r="23" spans="1:26" x14ac:dyDescent="0.3">
      <c r="A23" s="173" t="s">
        <v>146</v>
      </c>
      <c r="B23" s="173" t="s">
        <v>135</v>
      </c>
      <c r="C23" s="173" t="s">
        <v>221</v>
      </c>
      <c r="D23" s="173" t="s">
        <v>146</v>
      </c>
      <c r="E23" s="173">
        <v>119444</v>
      </c>
      <c r="F23" s="173"/>
      <c r="G23" s="173"/>
      <c r="H23" s="173">
        <v>119444</v>
      </c>
      <c r="I23" s="173"/>
      <c r="J23" s="173"/>
      <c r="K23" s="173"/>
      <c r="L23" s="173"/>
      <c r="M23" s="173"/>
      <c r="N23" s="173"/>
      <c r="O23" s="173" t="s">
        <v>108</v>
      </c>
      <c r="P23" s="173" t="s">
        <v>55</v>
      </c>
      <c r="Q23" s="173"/>
      <c r="R23" s="173" t="s">
        <v>223</v>
      </c>
    </row>
    <row r="24" spans="1:26" x14ac:dyDescent="0.3">
      <c r="A24" s="174" t="s">
        <v>146</v>
      </c>
      <c r="B24" s="174" t="s">
        <v>135</v>
      </c>
      <c r="C24" s="174" t="s">
        <v>221</v>
      </c>
      <c r="D24" s="174" t="s">
        <v>146</v>
      </c>
      <c r="E24" s="174">
        <v>108573</v>
      </c>
      <c r="F24" s="174"/>
      <c r="G24" s="174"/>
      <c r="H24" s="174"/>
      <c r="I24" s="174"/>
      <c r="J24" s="174"/>
      <c r="K24" s="174">
        <v>108573</v>
      </c>
      <c r="L24" s="174"/>
      <c r="M24" s="174"/>
      <c r="N24" s="174"/>
      <c r="O24" s="174" t="s">
        <v>108</v>
      </c>
      <c r="P24" s="174" t="s">
        <v>55</v>
      </c>
      <c r="Q24" s="174"/>
      <c r="R24" s="174" t="s">
        <v>222</v>
      </c>
    </row>
    <row r="25" spans="1:26" x14ac:dyDescent="0.3">
      <c r="A25" s="136" t="s">
        <v>146</v>
      </c>
      <c r="B25" s="136" t="s">
        <v>135</v>
      </c>
      <c r="C25" s="136" t="s">
        <v>224</v>
      </c>
      <c r="D25" s="136" t="s">
        <v>146</v>
      </c>
      <c r="E25" s="136">
        <v>412967</v>
      </c>
      <c r="F25" s="136"/>
      <c r="G25" s="136"/>
      <c r="H25" s="136">
        <v>412967</v>
      </c>
      <c r="I25" s="136"/>
      <c r="J25" s="136"/>
      <c r="K25" s="136"/>
      <c r="L25" s="136"/>
      <c r="M25" s="136"/>
      <c r="N25" s="136"/>
      <c r="O25" s="136" t="s">
        <v>108</v>
      </c>
      <c r="P25" s="136" t="s">
        <v>55</v>
      </c>
      <c r="Q25" s="136"/>
      <c r="R25" s="136" t="s">
        <v>223</v>
      </c>
      <c r="S25" s="125"/>
      <c r="T25" s="125"/>
      <c r="U25" s="125"/>
      <c r="V25" s="125"/>
      <c r="W25" s="125"/>
      <c r="X25" s="125"/>
      <c r="Y25" s="125"/>
      <c r="Z25" s="125"/>
    </row>
    <row r="26" spans="1:26" x14ac:dyDescent="0.3">
      <c r="A26" s="179" t="s">
        <v>146</v>
      </c>
      <c r="B26" s="179" t="s">
        <v>135</v>
      </c>
      <c r="C26" s="179" t="s">
        <v>231</v>
      </c>
      <c r="D26" s="179" t="s">
        <v>146</v>
      </c>
      <c r="E26" s="179">
        <v>225160</v>
      </c>
      <c r="F26" s="179"/>
      <c r="G26" s="179"/>
      <c r="H26" s="179"/>
      <c r="I26" s="179"/>
      <c r="J26" s="179"/>
      <c r="K26" s="179">
        <v>225160</v>
      </c>
      <c r="L26" s="179"/>
      <c r="M26" s="179"/>
      <c r="N26" s="179"/>
      <c r="O26" s="179" t="s">
        <v>108</v>
      </c>
      <c r="P26" s="179" t="s">
        <v>55</v>
      </c>
      <c r="Q26" s="179"/>
      <c r="R26" s="179" t="s">
        <v>222</v>
      </c>
      <c r="S26" s="125"/>
      <c r="T26" s="125"/>
      <c r="U26" s="125"/>
      <c r="V26" s="125"/>
      <c r="W26" s="125"/>
      <c r="X26" s="125"/>
      <c r="Y26" s="125"/>
      <c r="Z26" s="125"/>
    </row>
    <row r="27" spans="1:26" x14ac:dyDescent="0.3">
      <c r="A27" s="192" t="s">
        <v>146</v>
      </c>
      <c r="B27" s="192" t="s">
        <v>148</v>
      </c>
      <c r="C27" s="192" t="s">
        <v>145</v>
      </c>
      <c r="D27" s="192" t="s">
        <v>146</v>
      </c>
      <c r="E27" s="192">
        <v>-113148</v>
      </c>
      <c r="F27" s="192"/>
      <c r="G27" s="192"/>
      <c r="H27" s="192">
        <v>-113148</v>
      </c>
      <c r="I27" s="192"/>
      <c r="J27" s="192"/>
      <c r="K27" s="192"/>
      <c r="L27" s="192"/>
      <c r="M27" s="192"/>
      <c r="N27" s="192"/>
      <c r="O27" s="192" t="s">
        <v>55</v>
      </c>
      <c r="P27" s="192" t="s">
        <v>111</v>
      </c>
      <c r="Q27" s="192"/>
      <c r="R27" s="192" t="s">
        <v>147</v>
      </c>
      <c r="S27" s="125"/>
      <c r="T27" s="125"/>
      <c r="U27" s="125"/>
      <c r="V27" s="125"/>
      <c r="W27" s="125"/>
      <c r="X27" s="125"/>
      <c r="Y27" s="125"/>
      <c r="Z27" s="125"/>
    </row>
    <row r="28" spans="1:26" x14ac:dyDescent="0.3">
      <c r="A28" s="193" t="s">
        <v>142</v>
      </c>
      <c r="B28" s="193" t="s">
        <v>135</v>
      </c>
      <c r="C28" s="193" t="s">
        <v>140</v>
      </c>
      <c r="D28" s="193" t="s">
        <v>142</v>
      </c>
      <c r="E28" s="193">
        <v>170964</v>
      </c>
      <c r="F28" s="193"/>
      <c r="G28" s="193"/>
      <c r="H28" s="193">
        <v>170964</v>
      </c>
      <c r="I28" s="193"/>
      <c r="J28" s="193"/>
      <c r="K28" s="193"/>
      <c r="L28" s="193"/>
      <c r="M28" s="193"/>
      <c r="N28" s="193"/>
      <c r="O28" s="193" t="s">
        <v>141</v>
      </c>
      <c r="P28" s="193" t="s">
        <v>55</v>
      </c>
      <c r="Q28" s="193"/>
      <c r="R28" s="193" t="s">
        <v>143</v>
      </c>
      <c r="S28" s="125"/>
      <c r="T28" s="125"/>
      <c r="U28" s="125"/>
      <c r="V28" s="125"/>
      <c r="W28" s="125"/>
      <c r="X28" s="125"/>
      <c r="Y28" s="125"/>
      <c r="Z28" s="125"/>
    </row>
    <row r="29" spans="1:26" x14ac:dyDescent="0.3">
      <c r="S29" s="125"/>
      <c r="T29" s="125"/>
      <c r="U29" s="125"/>
      <c r="V29" s="125"/>
      <c r="W29" s="125"/>
      <c r="X29" s="125"/>
      <c r="Y29" s="125"/>
      <c r="Z29" s="125"/>
    </row>
    <row r="30" spans="1:26" x14ac:dyDescent="0.3">
      <c r="S30" s="125"/>
      <c r="T30" s="125"/>
      <c r="U30" s="125"/>
      <c r="V30" s="125"/>
      <c r="W30" s="125"/>
      <c r="X30" s="125"/>
      <c r="Y30" s="125"/>
      <c r="Z30" s="125"/>
    </row>
    <row r="31" spans="1:26" x14ac:dyDescent="0.3">
      <c r="S31" s="125"/>
      <c r="T31" s="125"/>
      <c r="U31" s="125"/>
      <c r="V31" s="125"/>
      <c r="W31" s="125"/>
      <c r="X31" s="125"/>
      <c r="Y31" s="125"/>
      <c r="Z31" s="125"/>
    </row>
    <row r="32" spans="1:26" x14ac:dyDescent="0.3">
      <c r="S32" s="125"/>
      <c r="T32" s="125"/>
      <c r="U32" s="125"/>
      <c r="V32" s="125"/>
      <c r="W32" s="125"/>
      <c r="X32" s="125"/>
      <c r="Y32" s="125"/>
      <c r="Z32" s="125"/>
    </row>
    <row r="33" spans="1:18" ht="15.6" x14ac:dyDescent="0.3">
      <c r="A33" s="209" t="s">
        <v>125</v>
      </c>
      <c r="B33" s="209"/>
      <c r="C33" s="209"/>
      <c r="D33" s="209"/>
      <c r="E33" s="209"/>
      <c r="F33" s="209"/>
      <c r="G33" s="209"/>
    </row>
    <row r="35" spans="1:18" x14ac:dyDescent="0.3">
      <c r="A35" s="142" t="s">
        <v>50</v>
      </c>
      <c r="B35" s="130" t="s">
        <v>51</v>
      </c>
      <c r="C35" s="130" t="s">
        <v>13</v>
      </c>
      <c r="D35" s="130" t="s">
        <v>52</v>
      </c>
      <c r="E35" s="130" t="s">
        <v>10</v>
      </c>
      <c r="F35" s="130" t="s">
        <v>44</v>
      </c>
      <c r="G35" s="130" t="s">
        <v>45</v>
      </c>
      <c r="H35" s="130" t="s">
        <v>4</v>
      </c>
      <c r="I35" s="130" t="s">
        <v>46</v>
      </c>
      <c r="J35" s="130" t="s">
        <v>5</v>
      </c>
      <c r="K35" s="130" t="s">
        <v>6</v>
      </c>
      <c r="L35" s="130" t="s">
        <v>47</v>
      </c>
      <c r="M35" s="130" t="s">
        <v>48</v>
      </c>
      <c r="N35" s="131" t="s">
        <v>49</v>
      </c>
      <c r="O35" s="131" t="s">
        <v>103</v>
      </c>
      <c r="P35" s="131" t="s">
        <v>104</v>
      </c>
      <c r="Q35" s="131" t="s">
        <v>105</v>
      </c>
      <c r="R35" s="131" t="s">
        <v>106</v>
      </c>
    </row>
    <row r="36" spans="1:18" x14ac:dyDescent="0.3">
      <c r="A36" s="143" t="s">
        <v>36</v>
      </c>
      <c r="B36" s="136" t="s">
        <v>54</v>
      </c>
      <c r="C36" s="136" t="s">
        <v>56</v>
      </c>
      <c r="D36" s="136" t="s">
        <v>57</v>
      </c>
      <c r="E36" s="136">
        <v>-540000</v>
      </c>
      <c r="F36" s="136"/>
      <c r="G36" s="136"/>
      <c r="H36" s="136"/>
      <c r="I36" s="136"/>
      <c r="J36" s="136"/>
      <c r="K36" s="136">
        <v>-540000</v>
      </c>
      <c r="L36" s="136"/>
      <c r="M36" s="136"/>
      <c r="N36" s="144"/>
      <c r="O36" s="130" t="s">
        <v>55</v>
      </c>
      <c r="P36" s="130" t="s">
        <v>53</v>
      </c>
      <c r="Q36" s="130"/>
      <c r="R36" s="130" t="s">
        <v>58</v>
      </c>
    </row>
    <row r="37" spans="1:18" x14ac:dyDescent="0.3">
      <c r="A37" s="133" t="s">
        <v>109</v>
      </c>
      <c r="B37" s="134" t="s">
        <v>120</v>
      </c>
      <c r="C37" s="134" t="s">
        <v>121</v>
      </c>
      <c r="D37" s="134" t="s">
        <v>57</v>
      </c>
      <c r="E37" s="134">
        <v>-16575.490000000002</v>
      </c>
      <c r="F37" s="134"/>
      <c r="G37" s="134"/>
      <c r="H37" s="134">
        <v>0</v>
      </c>
      <c r="I37" s="134"/>
      <c r="J37" s="134"/>
      <c r="K37" s="134">
        <v>0</v>
      </c>
      <c r="L37" s="134"/>
      <c r="M37" s="134"/>
      <c r="N37" s="135"/>
      <c r="O37" s="134" t="s">
        <v>55</v>
      </c>
      <c r="P37" s="134" t="s">
        <v>108</v>
      </c>
      <c r="Q37" s="134"/>
      <c r="R37" s="134" t="s">
        <v>122</v>
      </c>
    </row>
    <row r="38" spans="1:18" x14ac:dyDescent="0.3">
      <c r="A38" s="145" t="s">
        <v>109</v>
      </c>
      <c r="B38" s="145" t="s">
        <v>130</v>
      </c>
      <c r="C38" s="145" t="s">
        <v>131</v>
      </c>
      <c r="D38" s="145" t="s">
        <v>132</v>
      </c>
      <c r="E38" s="145">
        <v>-75440</v>
      </c>
      <c r="F38" s="145"/>
      <c r="G38" s="145"/>
      <c r="H38" s="145"/>
      <c r="I38" s="145"/>
      <c r="J38" s="145"/>
      <c r="K38" s="145">
        <v>-75440</v>
      </c>
      <c r="L38" s="145"/>
      <c r="M38" s="145"/>
      <c r="N38" s="145"/>
      <c r="O38" s="145" t="s">
        <v>55</v>
      </c>
      <c r="P38" s="145" t="s">
        <v>108</v>
      </c>
      <c r="Q38" s="145" t="s">
        <v>133</v>
      </c>
      <c r="R38" s="145" t="s">
        <v>134</v>
      </c>
    </row>
    <row r="39" spans="1:18" x14ac:dyDescent="0.3">
      <c r="A39" s="137" t="s">
        <v>109</v>
      </c>
      <c r="B39" s="138" t="s">
        <v>54</v>
      </c>
      <c r="C39" s="138" t="s">
        <v>110</v>
      </c>
      <c r="D39" s="138" t="s">
        <v>57</v>
      </c>
      <c r="E39" s="138">
        <v>-150000</v>
      </c>
      <c r="F39" s="138"/>
      <c r="G39" s="138"/>
      <c r="H39" s="138"/>
      <c r="I39" s="138"/>
      <c r="J39" s="138"/>
      <c r="K39" s="138">
        <v>-150000</v>
      </c>
      <c r="L39" s="138"/>
      <c r="M39" s="138"/>
      <c r="N39" s="139"/>
      <c r="O39" s="138" t="s">
        <v>55</v>
      </c>
      <c r="P39" s="138" t="s">
        <v>111</v>
      </c>
      <c r="Q39" s="138" t="s">
        <v>112</v>
      </c>
      <c r="R39" s="138" t="s">
        <v>113</v>
      </c>
    </row>
    <row r="40" spans="1:18" x14ac:dyDescent="0.3">
      <c r="A40" s="140" t="s">
        <v>132</v>
      </c>
      <c r="B40" s="140" t="s">
        <v>144</v>
      </c>
      <c r="C40" s="140" t="s">
        <v>145</v>
      </c>
      <c r="D40" s="140" t="s">
        <v>146</v>
      </c>
      <c r="E40" s="140">
        <v>113148</v>
      </c>
      <c r="F40" s="140"/>
      <c r="G40" s="140"/>
      <c r="H40" s="140">
        <v>113148</v>
      </c>
      <c r="I40" s="140"/>
      <c r="J40" s="140"/>
      <c r="K40" s="140"/>
      <c r="L40" s="140"/>
      <c r="M40" s="140"/>
      <c r="N40" s="140"/>
      <c r="O40" s="140" t="s">
        <v>111</v>
      </c>
      <c r="P40" s="140" t="s">
        <v>55</v>
      </c>
      <c r="Q40" s="140"/>
      <c r="R40" s="140" t="s">
        <v>147</v>
      </c>
    </row>
    <row r="41" spans="1:18" x14ac:dyDescent="0.3">
      <c r="A41" s="141" t="s">
        <v>132</v>
      </c>
      <c r="B41" s="141" t="s">
        <v>130</v>
      </c>
      <c r="C41" s="141" t="s">
        <v>140</v>
      </c>
      <c r="D41" s="141" t="s">
        <v>142</v>
      </c>
      <c r="E41" s="141">
        <v>-162000</v>
      </c>
      <c r="F41" s="141"/>
      <c r="G41" s="141"/>
      <c r="H41" s="141">
        <v>-162000</v>
      </c>
      <c r="I41" s="141"/>
      <c r="J41" s="141"/>
      <c r="K41" s="141"/>
      <c r="L41" s="141"/>
      <c r="M41" s="141"/>
      <c r="N41" s="141"/>
      <c r="O41" s="141" t="s">
        <v>55</v>
      </c>
      <c r="P41" s="141" t="s">
        <v>141</v>
      </c>
      <c r="Q41" s="141"/>
      <c r="R41" s="141" t="s">
        <v>143</v>
      </c>
    </row>
    <row r="42" spans="1:18" x14ac:dyDescent="0.3">
      <c r="A42" s="141" t="s">
        <v>149</v>
      </c>
      <c r="B42" s="141" t="s">
        <v>130</v>
      </c>
      <c r="C42" s="141" t="s">
        <v>221</v>
      </c>
      <c r="D42" s="141" t="s">
        <v>146</v>
      </c>
      <c r="E42" s="141">
        <v>-119444</v>
      </c>
      <c r="F42" s="141"/>
      <c r="G42" s="141"/>
      <c r="H42" s="141">
        <v>-119444</v>
      </c>
      <c r="I42" s="141"/>
      <c r="J42" s="141"/>
      <c r="K42" s="141"/>
      <c r="L42" s="141"/>
      <c r="M42" s="141"/>
      <c r="N42" s="141"/>
      <c r="O42" s="141" t="s">
        <v>55</v>
      </c>
      <c r="P42" s="141" t="s">
        <v>108</v>
      </c>
      <c r="Q42" s="141"/>
      <c r="R42" s="141" t="s">
        <v>223</v>
      </c>
    </row>
    <row r="43" spans="1:18" x14ac:dyDescent="0.3">
      <c r="A43" s="141" t="s">
        <v>149</v>
      </c>
      <c r="B43" s="141" t="s">
        <v>130</v>
      </c>
      <c r="C43" s="141" t="s">
        <v>221</v>
      </c>
      <c r="D43" s="141" t="s">
        <v>146</v>
      </c>
      <c r="E43" s="141">
        <v>-108573</v>
      </c>
      <c r="F43" s="141"/>
      <c r="G43" s="141"/>
      <c r="H43" s="141"/>
      <c r="I43" s="141"/>
      <c r="J43" s="141"/>
      <c r="K43" s="141">
        <v>-108573</v>
      </c>
      <c r="L43" s="141"/>
      <c r="M43" s="141"/>
      <c r="N43" s="141"/>
      <c r="O43" s="141" t="s">
        <v>55</v>
      </c>
      <c r="P43" s="141" t="s">
        <v>108</v>
      </c>
      <c r="Q43" s="141"/>
      <c r="R43" s="141" t="s">
        <v>222</v>
      </c>
    </row>
    <row r="44" spans="1:18" x14ac:dyDescent="0.3">
      <c r="A44" s="141" t="s">
        <v>149</v>
      </c>
      <c r="B44" s="141" t="s">
        <v>130</v>
      </c>
      <c r="C44" s="141" t="s">
        <v>224</v>
      </c>
      <c r="D44" s="141" t="s">
        <v>146</v>
      </c>
      <c r="E44" s="141">
        <v>-412967</v>
      </c>
      <c r="F44" s="141"/>
      <c r="G44" s="141"/>
      <c r="H44" s="141">
        <v>-412967</v>
      </c>
      <c r="I44" s="141"/>
      <c r="J44" s="141"/>
      <c r="K44" s="141"/>
      <c r="L44" s="141"/>
      <c r="M44" s="141"/>
      <c r="N44" s="141"/>
      <c r="O44" s="141" t="s">
        <v>55</v>
      </c>
      <c r="P44" s="141" t="s">
        <v>108</v>
      </c>
      <c r="Q44" s="141"/>
      <c r="R44" s="141" t="s">
        <v>223</v>
      </c>
    </row>
    <row r="45" spans="1:18" x14ac:dyDescent="0.3">
      <c r="A45" s="173" t="s">
        <v>149</v>
      </c>
      <c r="B45" s="173" t="s">
        <v>130</v>
      </c>
      <c r="C45" s="173" t="s">
        <v>231</v>
      </c>
      <c r="D45" s="173" t="s">
        <v>146</v>
      </c>
      <c r="E45" s="173">
        <v>-225160</v>
      </c>
      <c r="F45" s="173"/>
      <c r="G45" s="173"/>
      <c r="H45" s="173"/>
      <c r="I45" s="173"/>
      <c r="J45" s="173"/>
      <c r="K45" s="173">
        <v>-225160</v>
      </c>
      <c r="L45" s="173"/>
      <c r="M45" s="173"/>
      <c r="N45" s="173"/>
      <c r="O45" s="173" t="s">
        <v>55</v>
      </c>
      <c r="P45" s="173" t="s">
        <v>108</v>
      </c>
      <c r="Q45" s="173"/>
      <c r="R45" s="173" t="s">
        <v>222</v>
      </c>
    </row>
    <row r="46" spans="1:18" x14ac:dyDescent="0.3">
      <c r="A46" s="174" t="s">
        <v>149</v>
      </c>
      <c r="B46" s="174" t="s">
        <v>135</v>
      </c>
      <c r="C46" s="174" t="s">
        <v>131</v>
      </c>
      <c r="D46" s="174" t="s">
        <v>149</v>
      </c>
      <c r="E46" s="174">
        <v>75440</v>
      </c>
      <c r="F46" s="174"/>
      <c r="G46" s="174"/>
      <c r="H46" s="174"/>
      <c r="I46" s="174"/>
      <c r="J46" s="174"/>
      <c r="K46" s="174">
        <v>75440</v>
      </c>
      <c r="L46" s="174"/>
      <c r="M46" s="174"/>
      <c r="N46" s="174"/>
      <c r="O46" s="174" t="s">
        <v>108</v>
      </c>
      <c r="P46" s="174" t="s">
        <v>55</v>
      </c>
      <c r="Q46" s="174" t="s">
        <v>133</v>
      </c>
      <c r="R46" s="174" t="s">
        <v>134</v>
      </c>
    </row>
    <row r="47" spans="1:18" x14ac:dyDescent="0.3">
      <c r="A47" s="173" t="s">
        <v>146</v>
      </c>
      <c r="B47" s="173" t="s">
        <v>135</v>
      </c>
      <c r="C47" s="173" t="s">
        <v>221</v>
      </c>
      <c r="D47" s="173" t="s">
        <v>146</v>
      </c>
      <c r="E47" s="173">
        <v>119444</v>
      </c>
      <c r="F47" s="173"/>
      <c r="G47" s="173"/>
      <c r="H47" s="173">
        <v>119444</v>
      </c>
      <c r="I47" s="173"/>
      <c r="J47" s="173"/>
      <c r="K47" s="173"/>
      <c r="L47" s="173"/>
      <c r="M47" s="173"/>
      <c r="N47" s="173"/>
      <c r="O47" s="173" t="s">
        <v>108</v>
      </c>
      <c r="P47" s="173" t="s">
        <v>55</v>
      </c>
      <c r="Q47" s="173"/>
      <c r="R47" s="173" t="s">
        <v>223</v>
      </c>
    </row>
    <row r="48" spans="1:18" x14ac:dyDescent="0.3">
      <c r="A48" s="174" t="s">
        <v>146</v>
      </c>
      <c r="B48" s="174" t="s">
        <v>135</v>
      </c>
      <c r="C48" s="174" t="s">
        <v>221</v>
      </c>
      <c r="D48" s="174" t="s">
        <v>146</v>
      </c>
      <c r="E48" s="174">
        <v>108573</v>
      </c>
      <c r="F48" s="174"/>
      <c r="G48" s="174"/>
      <c r="H48" s="174"/>
      <c r="I48" s="174"/>
      <c r="J48" s="174"/>
      <c r="K48" s="174">
        <v>108573</v>
      </c>
      <c r="L48" s="174"/>
      <c r="M48" s="174"/>
      <c r="N48" s="174"/>
      <c r="O48" s="174" t="s">
        <v>108</v>
      </c>
      <c r="P48" s="174" t="s">
        <v>55</v>
      </c>
      <c r="Q48" s="174"/>
      <c r="R48" s="174" t="s">
        <v>222</v>
      </c>
    </row>
    <row r="49" spans="1:18" x14ac:dyDescent="0.3">
      <c r="A49" s="136" t="s">
        <v>146</v>
      </c>
      <c r="B49" s="136" t="s">
        <v>135</v>
      </c>
      <c r="C49" s="136" t="s">
        <v>224</v>
      </c>
      <c r="D49" s="136" t="s">
        <v>146</v>
      </c>
      <c r="E49" s="136">
        <v>412967</v>
      </c>
      <c r="F49" s="136"/>
      <c r="G49" s="136"/>
      <c r="H49" s="136">
        <v>412967</v>
      </c>
      <c r="I49" s="136"/>
      <c r="J49" s="136"/>
      <c r="K49" s="136"/>
      <c r="L49" s="136"/>
      <c r="M49" s="136"/>
      <c r="N49" s="136"/>
      <c r="O49" s="136" t="s">
        <v>108</v>
      </c>
      <c r="P49" s="136" t="s">
        <v>55</v>
      </c>
      <c r="Q49" s="136"/>
      <c r="R49" s="136" t="s">
        <v>223</v>
      </c>
    </row>
    <row r="50" spans="1:18" x14ac:dyDescent="0.3">
      <c r="A50" s="179" t="s">
        <v>146</v>
      </c>
      <c r="B50" s="179" t="s">
        <v>135</v>
      </c>
      <c r="C50" s="179" t="s">
        <v>231</v>
      </c>
      <c r="D50" s="179" t="s">
        <v>146</v>
      </c>
      <c r="E50" s="179">
        <v>225160</v>
      </c>
      <c r="F50" s="179"/>
      <c r="G50" s="179"/>
      <c r="H50" s="179"/>
      <c r="I50" s="179"/>
      <c r="J50" s="179"/>
      <c r="K50" s="179">
        <v>225160</v>
      </c>
      <c r="L50" s="179"/>
      <c r="M50" s="179"/>
      <c r="N50" s="179"/>
      <c r="O50" s="179" t="s">
        <v>108</v>
      </c>
      <c r="P50" s="179" t="s">
        <v>55</v>
      </c>
      <c r="Q50" s="179"/>
      <c r="R50" s="179" t="s">
        <v>222</v>
      </c>
    </row>
    <row r="51" spans="1:18" x14ac:dyDescent="0.3">
      <c r="A51" s="192" t="s">
        <v>146</v>
      </c>
      <c r="B51" s="192" t="s">
        <v>148</v>
      </c>
      <c r="C51" s="192" t="s">
        <v>145</v>
      </c>
      <c r="D51" s="192" t="s">
        <v>146</v>
      </c>
      <c r="E51" s="192">
        <v>-113148</v>
      </c>
      <c r="F51" s="192"/>
      <c r="G51" s="192"/>
      <c r="H51" s="192">
        <v>-113148</v>
      </c>
      <c r="I51" s="192"/>
      <c r="J51" s="192"/>
      <c r="K51" s="192"/>
      <c r="L51" s="192"/>
      <c r="M51" s="192"/>
      <c r="N51" s="192"/>
      <c r="O51" s="192" t="s">
        <v>55</v>
      </c>
      <c r="P51" s="192" t="s">
        <v>111</v>
      </c>
      <c r="Q51" s="192"/>
      <c r="R51" s="192" t="s">
        <v>147</v>
      </c>
    </row>
    <row r="52" spans="1:18" x14ac:dyDescent="0.3">
      <c r="A52" s="193" t="s">
        <v>142</v>
      </c>
      <c r="B52" s="193" t="s">
        <v>135</v>
      </c>
      <c r="C52" s="193" t="s">
        <v>140</v>
      </c>
      <c r="D52" s="193" t="s">
        <v>142</v>
      </c>
      <c r="E52" s="193">
        <v>162000</v>
      </c>
      <c r="F52" s="193"/>
      <c r="G52" s="193"/>
      <c r="H52" s="193">
        <v>162000</v>
      </c>
      <c r="I52" s="193"/>
      <c r="J52" s="193"/>
      <c r="K52" s="193"/>
      <c r="L52" s="193"/>
      <c r="M52" s="193"/>
      <c r="N52" s="193"/>
      <c r="O52" s="193" t="s">
        <v>141</v>
      </c>
      <c r="P52" s="193" t="s">
        <v>55</v>
      </c>
      <c r="Q52" s="193"/>
      <c r="R52" s="193" t="s">
        <v>143</v>
      </c>
    </row>
  </sheetData>
  <mergeCells count="5">
    <mergeCell ref="A1:F1"/>
    <mergeCell ref="A3:F3"/>
    <mergeCell ref="A9:G9"/>
    <mergeCell ref="A33:G33"/>
    <mergeCell ref="A7:H7"/>
  </mergeCells>
  <pageMargins left="0.7" right="0.7" top="0.75" bottom="0.75" header="0.3" footer="0.3"/>
  <pageSetup paperSize="17" scale="7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6"/>
  <sheetViews>
    <sheetView topLeftCell="A10" zoomScaleNormal="100" workbookViewId="0">
      <selection activeCell="B17" sqref="B17:E17"/>
    </sheetView>
  </sheetViews>
  <sheetFormatPr defaultRowHeight="14.4" x14ac:dyDescent="0.3"/>
  <cols>
    <col min="1" max="1" width="9.109375" style="1"/>
    <col min="2" max="2" width="20.6640625" customWidth="1"/>
    <col min="3" max="3" width="37.44140625" customWidth="1"/>
    <col min="4" max="4" width="15.6640625" customWidth="1"/>
    <col min="5" max="5" width="18.33203125" customWidth="1"/>
  </cols>
  <sheetData>
    <row r="1" spans="1:5" x14ac:dyDescent="0.35">
      <c r="A1" s="4" t="s">
        <v>13</v>
      </c>
      <c r="B1" s="218" t="s">
        <v>14</v>
      </c>
      <c r="C1" s="218"/>
      <c r="D1" s="218"/>
      <c r="E1" s="218"/>
    </row>
    <row r="2" spans="1:5" ht="81.75" customHeight="1" x14ac:dyDescent="0.35">
      <c r="A2" s="1">
        <v>1</v>
      </c>
      <c r="B2" s="211" t="s">
        <v>16</v>
      </c>
      <c r="C2" s="211"/>
      <c r="D2" s="211"/>
      <c r="E2" s="211"/>
    </row>
    <row r="3" spans="1:5" x14ac:dyDescent="0.35">
      <c r="B3" s="3"/>
      <c r="C3" s="3"/>
      <c r="D3" s="3"/>
      <c r="E3" s="3"/>
    </row>
    <row r="4" spans="1:5" ht="31.2" customHeight="1" x14ac:dyDescent="0.35">
      <c r="A4" s="1">
        <v>2</v>
      </c>
      <c r="B4" s="211" t="s">
        <v>17</v>
      </c>
      <c r="C4" s="211"/>
      <c r="D4" s="211"/>
      <c r="E4" s="211"/>
    </row>
    <row r="5" spans="1:5" x14ac:dyDescent="0.35">
      <c r="B5" s="3"/>
      <c r="C5" s="3"/>
      <c r="D5" s="3"/>
      <c r="E5" s="3"/>
    </row>
    <row r="6" spans="1:5" s="16" customFormat="1" ht="114" customHeight="1" x14ac:dyDescent="0.35">
      <c r="A6" s="17">
        <v>3</v>
      </c>
      <c r="B6" s="212" t="s">
        <v>79</v>
      </c>
      <c r="C6" s="212"/>
      <c r="D6" s="212"/>
      <c r="E6" s="212"/>
    </row>
    <row r="7" spans="1:5" s="16" customFormat="1" x14ac:dyDescent="0.3">
      <c r="A7" s="17"/>
      <c r="B7" s="18"/>
      <c r="C7" s="18"/>
      <c r="D7" s="18"/>
      <c r="E7" s="18"/>
    </row>
    <row r="8" spans="1:5" ht="18" customHeight="1" x14ac:dyDescent="0.3">
      <c r="A8" s="1">
        <v>4</v>
      </c>
      <c r="B8" s="215" t="s">
        <v>72</v>
      </c>
      <c r="C8" s="215"/>
      <c r="D8" s="8"/>
      <c r="E8" s="8"/>
    </row>
    <row r="9" spans="1:5" ht="18" customHeight="1" x14ac:dyDescent="0.3">
      <c r="B9" s="220" t="s">
        <v>160</v>
      </c>
      <c r="C9" s="220"/>
      <c r="D9" s="12">
        <v>125000</v>
      </c>
    </row>
    <row r="10" spans="1:5" ht="18" customHeight="1" x14ac:dyDescent="0.3">
      <c r="B10" s="211" t="s">
        <v>163</v>
      </c>
      <c r="C10" s="211"/>
      <c r="D10" s="11">
        <v>-31250</v>
      </c>
    </row>
    <row r="11" spans="1:5" ht="18" customHeight="1" x14ac:dyDescent="0.3">
      <c r="B11" s="220" t="s">
        <v>164</v>
      </c>
      <c r="C11" s="220"/>
      <c r="D11" s="13">
        <f>+D9+D10</f>
        <v>93750</v>
      </c>
    </row>
    <row r="12" spans="1:5" ht="31.5" customHeight="1" x14ac:dyDescent="0.3">
      <c r="B12" s="211" t="s">
        <v>161</v>
      </c>
      <c r="C12" s="211"/>
      <c r="D12" s="10">
        <v>31250</v>
      </c>
    </row>
    <row r="13" spans="1:5" ht="36.75" customHeight="1" x14ac:dyDescent="0.3">
      <c r="B13" s="220" t="s">
        <v>162</v>
      </c>
      <c r="C13" s="220"/>
      <c r="D13" s="14">
        <f>SUM(D11:D12)</f>
        <v>125000</v>
      </c>
    </row>
    <row r="14" spans="1:5" s="16" customFormat="1" ht="18" customHeight="1" x14ac:dyDescent="0.3">
      <c r="A14" s="17"/>
      <c r="B14" s="21"/>
      <c r="C14" s="21"/>
      <c r="D14" s="22"/>
    </row>
    <row r="15" spans="1:5" s="16" customFormat="1" ht="84.75" customHeight="1" x14ac:dyDescent="0.3">
      <c r="A15" s="1">
        <v>5</v>
      </c>
      <c r="B15" s="219" t="s">
        <v>73</v>
      </c>
      <c r="C15" s="219"/>
      <c r="D15" s="219"/>
      <c r="E15" s="219"/>
    </row>
    <row r="16" spans="1:5" x14ac:dyDescent="0.3">
      <c r="B16" s="3"/>
      <c r="C16" s="3"/>
      <c r="D16" s="3"/>
      <c r="E16" s="3"/>
    </row>
    <row r="17" spans="1:5" ht="14.4" customHeight="1" x14ac:dyDescent="0.3">
      <c r="A17" s="1">
        <v>6</v>
      </c>
      <c r="B17" s="211" t="s">
        <v>214</v>
      </c>
      <c r="C17" s="211"/>
      <c r="D17" s="211"/>
      <c r="E17" s="211"/>
    </row>
    <row r="18" spans="1:5" x14ac:dyDescent="0.3">
      <c r="B18" s="9"/>
      <c r="C18" s="9"/>
      <c r="D18" s="9"/>
      <c r="E18" s="9"/>
    </row>
    <row r="19" spans="1:5" ht="31.2" customHeight="1" x14ac:dyDescent="0.3">
      <c r="A19" s="1">
        <v>7</v>
      </c>
      <c r="B19" s="211" t="s">
        <v>39</v>
      </c>
      <c r="C19" s="211"/>
      <c r="D19" s="211"/>
      <c r="E19" s="211"/>
    </row>
    <row r="20" spans="1:5" ht="14.25" customHeight="1" x14ac:dyDescent="0.3">
      <c r="B20" s="7"/>
      <c r="C20" s="7"/>
      <c r="D20" s="7"/>
      <c r="E20" s="7"/>
    </row>
    <row r="21" spans="1:5" ht="46.8" customHeight="1" x14ac:dyDescent="0.3">
      <c r="A21" s="1">
        <v>8</v>
      </c>
      <c r="B21" s="211" t="s">
        <v>40</v>
      </c>
      <c r="C21" s="211"/>
      <c r="D21" s="211"/>
      <c r="E21" s="211"/>
    </row>
    <row r="22" spans="1:5" ht="15" customHeight="1" x14ac:dyDescent="0.3">
      <c r="B22" s="7"/>
      <c r="C22" s="7"/>
      <c r="D22" s="7"/>
      <c r="E22" s="7"/>
    </row>
    <row r="23" spans="1:5" ht="31.2" customHeight="1" x14ac:dyDescent="0.3">
      <c r="A23" s="1">
        <v>9</v>
      </c>
      <c r="B23" s="211" t="s">
        <v>38</v>
      </c>
      <c r="C23" s="211"/>
      <c r="D23" s="211"/>
      <c r="E23" s="211"/>
    </row>
    <row r="24" spans="1:5" ht="15" customHeight="1" x14ac:dyDescent="0.3">
      <c r="B24" s="7"/>
      <c r="C24" s="7"/>
      <c r="D24" s="7"/>
      <c r="E24" s="7"/>
    </row>
    <row r="25" spans="1:5" ht="31.2" customHeight="1" x14ac:dyDescent="0.3">
      <c r="A25" s="1">
        <v>10</v>
      </c>
      <c r="B25" s="211" t="s">
        <v>41</v>
      </c>
      <c r="C25" s="211"/>
      <c r="D25" s="211"/>
      <c r="E25" s="211"/>
    </row>
    <row r="26" spans="1:5" x14ac:dyDescent="0.3">
      <c r="B26" s="3"/>
      <c r="C26" s="3"/>
      <c r="D26" s="3"/>
      <c r="E26" s="3"/>
    </row>
    <row r="27" spans="1:5" ht="31.2" customHeight="1" x14ac:dyDescent="0.3">
      <c r="A27" s="1">
        <v>11</v>
      </c>
      <c r="B27" s="211" t="s">
        <v>42</v>
      </c>
      <c r="C27" s="211"/>
      <c r="D27" s="211"/>
      <c r="E27" s="211"/>
    </row>
    <row r="28" spans="1:5" x14ac:dyDescent="0.3">
      <c r="B28" s="3"/>
      <c r="C28" s="3"/>
      <c r="D28" s="3"/>
      <c r="E28" s="3"/>
    </row>
    <row r="29" spans="1:5" ht="31.2" customHeight="1" x14ac:dyDescent="0.3">
      <c r="A29" s="1">
        <v>12</v>
      </c>
      <c r="B29" s="211" t="s">
        <v>43</v>
      </c>
      <c r="C29" s="211"/>
      <c r="D29" s="211"/>
      <c r="E29" s="211"/>
    </row>
    <row r="30" spans="1:5" x14ac:dyDescent="0.3">
      <c r="B30" s="7"/>
      <c r="C30" s="7"/>
      <c r="D30" s="7"/>
      <c r="E30" s="7"/>
    </row>
    <row r="31" spans="1:5" s="16" customFormat="1" ht="31.2" customHeight="1" x14ac:dyDescent="0.3">
      <c r="A31" s="17">
        <v>13</v>
      </c>
      <c r="B31" s="211" t="s">
        <v>123</v>
      </c>
      <c r="C31" s="211"/>
      <c r="D31" s="211"/>
      <c r="E31" s="211"/>
    </row>
    <row r="32" spans="1:5" s="16" customFormat="1" x14ac:dyDescent="0.3">
      <c r="A32" s="17"/>
      <c r="B32" s="110"/>
      <c r="C32" s="110"/>
      <c r="D32" s="110"/>
      <c r="E32" s="110"/>
    </row>
    <row r="33" spans="1:5" ht="31.2" customHeight="1" x14ac:dyDescent="0.3">
      <c r="A33" s="1">
        <v>14</v>
      </c>
      <c r="B33" s="211" t="s">
        <v>18</v>
      </c>
      <c r="C33" s="211"/>
      <c r="D33" s="211"/>
      <c r="E33" s="211"/>
    </row>
    <row r="34" spans="1:5" x14ac:dyDescent="0.3">
      <c r="B34" s="3"/>
      <c r="C34" s="3"/>
      <c r="D34" s="3"/>
      <c r="E34" s="3"/>
    </row>
    <row r="35" spans="1:5" ht="46.8" customHeight="1" x14ac:dyDescent="0.3">
      <c r="A35" s="1">
        <v>15</v>
      </c>
      <c r="B35" s="211" t="s">
        <v>19</v>
      </c>
      <c r="C35" s="211"/>
      <c r="D35" s="211"/>
      <c r="E35" s="211"/>
    </row>
    <row r="36" spans="1:5" ht="14.25" customHeight="1" x14ac:dyDescent="0.3">
      <c r="B36" s="3"/>
      <c r="C36" s="3"/>
      <c r="D36" s="3"/>
      <c r="E36" s="3"/>
    </row>
    <row r="37" spans="1:5" x14ac:dyDescent="0.3">
      <c r="A37" s="1">
        <v>16</v>
      </c>
      <c r="B37" s="215" t="s">
        <v>34</v>
      </c>
      <c r="C37" s="215"/>
      <c r="D37" s="215"/>
      <c r="E37" s="215"/>
    </row>
    <row r="38" spans="1:5" x14ac:dyDescent="0.3">
      <c r="B38" s="15" t="s">
        <v>7</v>
      </c>
      <c r="C38" s="216" t="s">
        <v>20</v>
      </c>
      <c r="D38" s="216"/>
      <c r="E38" s="216"/>
    </row>
    <row r="39" spans="1:5" x14ac:dyDescent="0.3">
      <c r="B39" s="5" t="s">
        <v>21</v>
      </c>
      <c r="C39" s="217" t="s">
        <v>28</v>
      </c>
      <c r="D39" s="217"/>
      <c r="E39" s="217"/>
    </row>
    <row r="40" spans="1:5" x14ac:dyDescent="0.3">
      <c r="B40" s="15" t="s">
        <v>22</v>
      </c>
      <c r="C40" s="216" t="s">
        <v>29</v>
      </c>
      <c r="D40" s="216"/>
      <c r="E40" s="216"/>
    </row>
    <row r="41" spans="1:5" x14ac:dyDescent="0.3">
      <c r="B41" s="5" t="s">
        <v>23</v>
      </c>
      <c r="C41" s="217" t="s">
        <v>32</v>
      </c>
      <c r="D41" s="217"/>
      <c r="E41" s="217"/>
    </row>
    <row r="42" spans="1:5" x14ac:dyDescent="0.3">
      <c r="B42" s="15" t="s">
        <v>9</v>
      </c>
      <c r="C42" s="216" t="s">
        <v>30</v>
      </c>
      <c r="D42" s="216"/>
      <c r="E42" s="216"/>
    </row>
    <row r="43" spans="1:5" x14ac:dyDescent="0.3">
      <c r="B43" s="5" t="s">
        <v>8</v>
      </c>
      <c r="C43" s="217" t="s">
        <v>24</v>
      </c>
      <c r="D43" s="217"/>
      <c r="E43" s="217"/>
    </row>
    <row r="44" spans="1:5" x14ac:dyDescent="0.3">
      <c r="B44" s="15" t="s">
        <v>25</v>
      </c>
      <c r="C44" s="216" t="s">
        <v>26</v>
      </c>
      <c r="D44" s="216"/>
      <c r="E44" s="216"/>
    </row>
    <row r="45" spans="1:5" x14ac:dyDescent="0.3">
      <c r="B45" s="5" t="s">
        <v>27</v>
      </c>
      <c r="C45" s="217" t="s">
        <v>31</v>
      </c>
      <c r="D45" s="217"/>
      <c r="E45" s="217"/>
    </row>
    <row r="46" spans="1:5" s="16" customFormat="1" x14ac:dyDescent="0.3">
      <c r="A46" s="17"/>
      <c r="B46" s="19"/>
      <c r="C46" s="20"/>
      <c r="D46" s="20"/>
      <c r="E46" s="20"/>
    </row>
    <row r="47" spans="1:5" s="16" customFormat="1" x14ac:dyDescent="0.3">
      <c r="A47" s="17">
        <v>17</v>
      </c>
      <c r="B47" s="23" t="s">
        <v>80</v>
      </c>
      <c r="C47" s="20"/>
      <c r="D47" s="20"/>
      <c r="E47" s="20"/>
    </row>
    <row r="48" spans="1:5" s="16" customFormat="1" ht="30" customHeight="1" x14ac:dyDescent="0.3">
      <c r="A48" s="17"/>
      <c r="B48" s="15" t="s">
        <v>62</v>
      </c>
      <c r="C48" s="216" t="s">
        <v>82</v>
      </c>
      <c r="D48" s="216"/>
      <c r="E48" s="216"/>
    </row>
    <row r="49" spans="1:5" s="16" customFormat="1" x14ac:dyDescent="0.3">
      <c r="A49" s="17"/>
      <c r="B49" s="19" t="s">
        <v>63</v>
      </c>
      <c r="C49" s="217" t="s">
        <v>81</v>
      </c>
      <c r="D49" s="217"/>
      <c r="E49" s="217"/>
    </row>
    <row r="50" spans="1:5" s="16" customFormat="1" ht="48.75" customHeight="1" x14ac:dyDescent="0.3">
      <c r="A50" s="17"/>
      <c r="B50" s="15" t="s">
        <v>64</v>
      </c>
      <c r="C50" s="216" t="s">
        <v>84</v>
      </c>
      <c r="D50" s="216"/>
      <c r="E50" s="216"/>
    </row>
    <row r="51" spans="1:5" s="16" customFormat="1" ht="29.25" customHeight="1" x14ac:dyDescent="0.3">
      <c r="A51" s="17"/>
      <c r="B51" s="19" t="s">
        <v>65</v>
      </c>
      <c r="C51" s="217" t="s">
        <v>83</v>
      </c>
      <c r="D51" s="217"/>
      <c r="E51" s="217"/>
    </row>
    <row r="52" spans="1:5" x14ac:dyDescent="0.3">
      <c r="B52" s="5"/>
      <c r="C52" s="6"/>
      <c r="D52" s="6"/>
      <c r="E52" s="6"/>
    </row>
    <row r="53" spans="1:5" ht="94.5" customHeight="1" x14ac:dyDescent="0.3">
      <c r="A53" s="1">
        <v>18</v>
      </c>
      <c r="B53" s="214" t="s">
        <v>33</v>
      </c>
      <c r="C53" s="214"/>
      <c r="D53" s="214"/>
      <c r="E53" s="214"/>
    </row>
    <row r="55" spans="1:5" x14ac:dyDescent="0.3">
      <c r="B55" s="2"/>
    </row>
    <row r="56" spans="1:5" x14ac:dyDescent="0.3">
      <c r="A56" s="213" t="s">
        <v>35</v>
      </c>
      <c r="B56" s="213"/>
      <c r="C56" s="213"/>
      <c r="D56" s="213"/>
      <c r="E56" s="213"/>
    </row>
  </sheetData>
  <mergeCells count="36">
    <mergeCell ref="C48:E48"/>
    <mergeCell ref="C49:E49"/>
    <mergeCell ref="C51:E51"/>
    <mergeCell ref="C50:E50"/>
    <mergeCell ref="B29:E29"/>
    <mergeCell ref="B33:E33"/>
    <mergeCell ref="B35:E35"/>
    <mergeCell ref="B31:E31"/>
    <mergeCell ref="B21:E21"/>
    <mergeCell ref="B23:E23"/>
    <mergeCell ref="B1:E1"/>
    <mergeCell ref="B2:E2"/>
    <mergeCell ref="B4:E4"/>
    <mergeCell ref="B15:E15"/>
    <mergeCell ref="B10:C10"/>
    <mergeCell ref="B11:C11"/>
    <mergeCell ref="B13:C13"/>
    <mergeCell ref="B12:C12"/>
    <mergeCell ref="B8:C8"/>
    <mergeCell ref="B9:C9"/>
    <mergeCell ref="B25:E25"/>
    <mergeCell ref="B27:E27"/>
    <mergeCell ref="B17:E17"/>
    <mergeCell ref="B6:E6"/>
    <mergeCell ref="A56:E56"/>
    <mergeCell ref="B19:E19"/>
    <mergeCell ref="B53:E53"/>
    <mergeCell ref="B37:E37"/>
    <mergeCell ref="C38:E38"/>
    <mergeCell ref="C39:E39"/>
    <mergeCell ref="C40:E40"/>
    <mergeCell ref="C41:E41"/>
    <mergeCell ref="C42:E42"/>
    <mergeCell ref="C43:E43"/>
    <mergeCell ref="C44:E44"/>
    <mergeCell ref="C45:E45"/>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Patrick Stone</cp:lastModifiedBy>
  <cp:lastPrinted>2016-07-30T13:20:17Z</cp:lastPrinted>
  <dcterms:created xsi:type="dcterms:W3CDTF">2013-05-11T20:19:37Z</dcterms:created>
  <dcterms:modified xsi:type="dcterms:W3CDTF">2016-09-17T16:51:54Z</dcterms:modified>
</cp:coreProperties>
</file>