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 yWindow="5580" windowWidth="23076" windowHeight="5628"/>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Transactions'!$A$1:$T$36</definedName>
    <definedName name="Query_from_MS_Access_Database" localSheetId="0" hidden="1">'Federal Funds Transactions'!$A$15:$Q$24</definedName>
    <definedName name="Query_from_MS_Access_Database" localSheetId="1" hidden="1">'Regional Loans and Transfers'!$A$11:$R$47</definedName>
    <definedName name="Query_from_MS_Access_Database_1" localSheetId="0" hidden="1">'Federal Funds Transactions'!$A$29:$Q$30</definedName>
    <definedName name="Query_from_MS_Access_Database_1" localSheetId="1" hidden="1">'Regional Loans and Transfers'!$A$53:$R$89</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30" i="1" l="1"/>
  <c r="S30" i="1"/>
  <c r="S16" i="1"/>
  <c r="S17" i="1" s="1"/>
  <c r="S18" i="1" s="1"/>
  <c r="S19" i="1" s="1"/>
  <c r="S20" i="1" s="1"/>
  <c r="S21" i="1" s="1"/>
  <c r="S22" i="1" s="1"/>
  <c r="S23" i="1" s="1"/>
  <c r="S24" i="1" s="1"/>
  <c r="I16" i="1"/>
  <c r="I17" i="1"/>
  <c r="I18" i="1"/>
  <c r="I19" i="1"/>
  <c r="I20" i="1"/>
  <c r="I21" i="1"/>
  <c r="I22" i="1"/>
  <c r="I23" i="1"/>
  <c r="I24" i="1"/>
  <c r="R16" i="1"/>
  <c r="R17" i="1"/>
  <c r="R18" i="1"/>
  <c r="R19" i="1"/>
  <c r="R20" i="1"/>
  <c r="R21" i="1"/>
  <c r="R22" i="1"/>
  <c r="R23" i="1"/>
  <c r="R24" i="1"/>
  <c r="S38" i="1" l="1"/>
  <c r="S40" i="1" s="1"/>
  <c r="O7" i="1"/>
  <c r="P7" i="1"/>
  <c r="P6" i="1"/>
  <c r="O10" i="1" l="1"/>
  <c r="O6" i="1"/>
  <c r="P8" i="1"/>
  <c r="O8" i="1"/>
  <c r="O5" i="1" l="1"/>
  <c r="Q5" i="1" l="1"/>
  <c r="S11" i="1" l="1"/>
  <c r="Q11" i="1"/>
  <c r="P11" i="1"/>
  <c r="O11" i="1"/>
  <c r="N11" i="1"/>
  <c r="S10" i="1"/>
  <c r="Q10" i="1"/>
  <c r="P10" i="1"/>
  <c r="N10" i="1"/>
  <c r="S9" i="1"/>
  <c r="Q9" i="1"/>
  <c r="P9" i="1"/>
  <c r="O9" i="1"/>
  <c r="N9" i="1"/>
  <c r="S8" i="1"/>
  <c r="Q8" i="1"/>
  <c r="N8" i="1"/>
  <c r="S7" i="1"/>
  <c r="Q7" i="1"/>
  <c r="N7" i="1"/>
  <c r="S6" i="1"/>
  <c r="Q6" i="1"/>
  <c r="N6" i="1"/>
  <c r="P5" i="1" l="1"/>
  <c r="R4" i="1" l="1"/>
  <c r="S39" i="1" l="1"/>
  <c r="Q39" i="1"/>
  <c r="P39" i="1"/>
  <c r="O39" i="1"/>
  <c r="N39" i="1"/>
  <c r="D11" i="2" l="1"/>
  <c r="D13" i="2" s="1"/>
  <c r="R39" i="1" l="1"/>
  <c r="R5" i="1" l="1"/>
  <c r="S5" i="1" s="1"/>
  <c r="O31" i="1" l="1"/>
  <c r="P31" i="1"/>
  <c r="Q31" i="1"/>
  <c r="R31" i="1"/>
  <c r="N31" i="1"/>
  <c r="O25" i="1"/>
  <c r="P25" i="1"/>
  <c r="Q25" i="1"/>
  <c r="N25" i="1"/>
  <c r="R25" i="1" l="1"/>
  <c r="O12" i="1" l="1"/>
  <c r="O26" i="1" s="1"/>
  <c r="A7" i="3" l="1"/>
  <c r="R7" i="1" l="1"/>
  <c r="R8" i="1"/>
  <c r="R9" i="1"/>
  <c r="R10" i="1"/>
  <c r="R11" i="1"/>
  <c r="B5" i="3" l="1"/>
  <c r="P12" i="1"/>
  <c r="O32" i="1" l="1"/>
  <c r="O38" i="1" s="1"/>
  <c r="O40" i="1" s="1"/>
  <c r="P26" i="1"/>
  <c r="R6" i="1"/>
  <c r="A1" i="3" l="1"/>
  <c r="N12" i="1" l="1"/>
  <c r="N26" i="1" l="1"/>
  <c r="N32" i="1" s="1"/>
  <c r="N38" i="1" s="1"/>
  <c r="Q12" i="1"/>
  <c r="Q26" i="1" s="1"/>
  <c r="N41" i="1" l="1"/>
  <c r="N40" i="1" s="1"/>
  <c r="R12" i="1"/>
  <c r="P32" i="1"/>
  <c r="P38" i="1" s="1"/>
  <c r="P40" i="1" s="1"/>
  <c r="S12" i="1"/>
  <c r="Q32" i="1" l="1"/>
  <c r="Q38" i="1" s="1"/>
  <c r="R26" i="1"/>
  <c r="R32" i="1" l="1"/>
  <c r="Q41" i="1"/>
  <c r="Q40" i="1" s="1"/>
  <c r="R40" i="1" s="1"/>
  <c r="R38"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SIP, `02-CYMPO LEDGER`.PL, `02-CYMPO LEDGER`.SPR, `02-CYMPO LEDGER`.`STP OTHER`_x000d__x000a_FROM `G:\FMS\RESOURCE\ACCESS\010614 PBPF\011614 PBPF front.accdb`.`02-CYMPO LEDGER` `02-CYMPO LEDGER`_x000d__x000a_WHERE (`02-CYMPO LEDGER`.`ADOT#` Not Like 'TRICK') AND (`02-CYMPO LEDGER`.`Finance Authorization`&gt;=#10/1/2016# AND `02-CYMPO LEDGER`.`Finance Authorization`&lt;=#9/30/2017#)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_5`, `02-CYMPOqryLedgerApportsCrosstab`.HSIP, `02-CYMPOqryLedgerApportsCrosstab`.PL, `02-CYMPOqryLedgerApportsCrosstab`.SPR, `02-CYMPOqryLedgerApportsCrosstab`.`STP other`, `02-CYMPOqryLedgerApportsCrosstab`.`STP over 200K`, `02-CYMPOqryLedgerApportsCrosstab`.`TA other`, `02-CYMPOqryLedgerApportsCrosstab`.`TA over 200K` FROM `02-CYMPOqryLedgerApportsCrosstab` 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_5`, `02-CYMPOqryLedgerOACrosstab`.HSIP, `02-CYMPOqryLedgerOACrosstab`.PL, `02-CYMPOqryLedgerOACrosstab`.SPR, `02-CYMPOqryLedgerOACrosstab`.`STP other`, `02-CYMPOqryLedgerOACrosstab`.`STP over 200K`, `02-CYMPOqryLedgerOACrosstab`.`TA other`, `02-CYMPOqryLedgerOACrosstab`.`TA over 200K` FROM `02-CYMPOqryLedgerOACrosstab` 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SIP, `02-CYMPO LEDGER`.PL, `02-CYMPO LEDGER`.SPR, `02-CYMPO LEDGER`.`STP OTHER`_x000d__x000a_FROM `G:\FMS\RESOURCE\ACCESS\010614 PBPF\011614 PBPF front.accdb`.`02-CYMPO LEDGER` `02-CYMPO LEDGER`_x000d__x000a_WHERE (`02-CYMPO LEDGER`.`ADOT#` Not Like 'Trick') AND (`02-CYMPO LEDGER`.`Finance Authorization` Is Null) AND ((`02-CYMPO LEDGER`.`PB Expected`&gt;=#10/1/2016# and `PB Expected`&lt;=#9/30/2017#) OR (`02-CYMPO LEDGER`.`PB Received`&gt;=#10/1/2016# and `PB Received`&lt;=#9/30/2017#) OR (`02-CYMPO LEDGER`.`PF Transmitted`&gt;=#10/1/2016# and `PF Transmitted`&lt;=#9/30/2017#))_x000d__x000a_ORDER BY `02-CYMPO LEDGER`.`ADOT#`"/>
  </connection>
</connections>
</file>

<file path=xl/sharedStrings.xml><?xml version="1.0" encoding="utf-8"?>
<sst xmlns="http://schemas.openxmlformats.org/spreadsheetml/2006/main" count="792" uniqueCount="218">
  <si>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</si>
  <si>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</si>
  <si>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</si>
  <si>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</si>
  <si>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</si>
  <si>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</si>
  <si>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</si>
  <si>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</si>
  <si>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</si>
  <si>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</si>
  <si>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</si>
  <si>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</si>
  <si>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</si>
  <si>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</si>
  <si>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</si>
  <si>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</si>
  <si>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</si>
  <si>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</si>
  <si>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</si>
  <si>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</si>
  <si>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</si>
  <si>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</si>
  <si>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</si>
  <si>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</si>
  <si>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</si>
  <si>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</si>
  <si>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</si>
  <si>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</si>
  <si>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</si>
  <si>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</si>
  <si>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</si>
  <si>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</si>
  <si>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</si>
  <si>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</si>
  <si>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</si>
  <si>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</si>
  <si>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</si>
  <si>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</si>
  <si>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</si>
  <si>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</si>
  <si>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</si>
  <si>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</si>
  <si>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</si>
  <si>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</si>
  <si>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</si>
  <si>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</si>
  <si>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</si>
  <si>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</si>
  <si>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</si>
  <si>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</si>
  <si>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</si>
  <si>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</si>
  <si>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Transfer Out</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</si>
  <si>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</si>
  <si>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</si>
  <si>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</si>
  <si>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</si>
  <si>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</si>
  <si>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</si>
  <si>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</si>
  <si>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</si>
  <si>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</si>
  <si>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</si>
  <si>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</si>
  <si>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</si>
  <si>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</si>
  <si>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</si>
  <si>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</si>
  <si>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</si>
  <si>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</si>
  <si>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</si>
  <si>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</si>
  <si>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</si>
  <si>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</si>
  <si>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</si>
  <si>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</si>
  <si>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</si>
  <si>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</si>
  <si>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</si>
  <si>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</si>
  <si>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</si>
  <si>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</si>
  <si>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</si>
  <si>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</si>
  <si>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</si>
  <si>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</si>
  <si>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</si>
  <si>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</si>
  <si>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</si>
  <si>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</si>
  <si>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</si>
  <si>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</si>
  <si>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</si>
  <si>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</si>
  <si>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</si>
  <si>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</si>
  <si>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Loan In</t>
  </si>
  <si>
    <t>Loan Out</t>
  </si>
  <si>
    <t>Repayment In</t>
  </si>
  <si>
    <t>Repayment Out</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</si>
  <si>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</si>
  <si>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</si>
  <si>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</si>
  <si>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</si>
  <si>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</si>
  <si>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</si>
  <si>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</si>
  <si>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</si>
  <si>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2015</t>
  </si>
  <si>
    <t>2014</t>
  </si>
  <si>
    <t>CYMPO</t>
  </si>
  <si>
    <t>DECLINING BALANCE OA</t>
  </si>
  <si>
    <t>Central Yavapai Metropolitan Planning Organization</t>
  </si>
  <si>
    <r>
      <rPr>
        <b/>
        <sz val="11"/>
        <color rgb="FFFF0000"/>
        <rFont val="Arial Unicode MS"/>
        <family val="2"/>
      </rPr>
      <t xml:space="preserve">DRAFT </t>
    </r>
    <r>
      <rPr>
        <sz val="11"/>
        <color theme="1"/>
        <rFont val="Arial Unicode MS"/>
        <family val="2"/>
      </rPr>
      <t>Data as of:</t>
    </r>
  </si>
  <si>
    <t>NACOG</t>
  </si>
  <si>
    <t>2014 LOAN FROM NACOG TO CYMPO FOR SIGN REPLACEMENT</t>
  </si>
  <si>
    <t>2012</t>
  </si>
  <si>
    <t>CYMPO-L001</t>
  </si>
  <si>
    <t>ADOT</t>
  </si>
  <si>
    <t>2013</t>
  </si>
  <si>
    <t>SH476</t>
  </si>
  <si>
    <t>HSIP Loan to ADOT</t>
  </si>
  <si>
    <t>CYMPO-T001</t>
  </si>
  <si>
    <t>None</t>
  </si>
  <si>
    <t>H803901C</t>
  </si>
  <si>
    <t>To ADOT</t>
  </si>
  <si>
    <t>Repayment from ADOT for 2012 HSIP Loan</t>
  </si>
  <si>
    <t>CYMPO-T002</t>
  </si>
  <si>
    <t>CYMPO-T003</t>
  </si>
  <si>
    <t>CYMPO -T004</t>
  </si>
  <si>
    <t>to ADOT</t>
  </si>
  <si>
    <t>NACOG14-L002</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</si>
  <si>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</si>
  <si>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</si>
  <si>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2015 REPAYMENT FROM CYMPO TO NACOG FOR SIGN REPLACEMENT</t>
  </si>
  <si>
    <t>Lapsing</t>
  </si>
  <si>
    <t>CYMPO-LP01</t>
  </si>
  <si>
    <t>CYMPO LAPSING FUNDS - FFY14</t>
  </si>
  <si>
    <t>2016</t>
  </si>
  <si>
    <t>FMPO15-L001</t>
  </si>
  <si>
    <t>FMPO</t>
  </si>
  <si>
    <t>2017</t>
  </si>
  <si>
    <t>FMPO HSIP Loan to CYMPO</t>
  </si>
  <si>
    <t>CY-MPO-16-01</t>
  </si>
  <si>
    <t>CYM</t>
  </si>
  <si>
    <t>0</t>
  </si>
  <si>
    <t>CYMPO16-T001</t>
  </si>
  <si>
    <t>H833001C</t>
  </si>
  <si>
    <t>CYMPO STP Transfer to ADOT</t>
  </si>
  <si>
    <t>SH59901C</t>
  </si>
  <si>
    <t>CYMPO HSIP REGIONAL SIGN PROJECT</t>
  </si>
  <si>
    <t>202</t>
  </si>
  <si>
    <t>CYMPO17-T001</t>
  </si>
  <si>
    <t>SL68001C</t>
  </si>
  <si>
    <t>CYMPO HSIP OA Transfer to ADOT</t>
  </si>
  <si>
    <t>CYMPO16-L001</t>
  </si>
  <si>
    <t>SR89A Corridor Plan</t>
  </si>
  <si>
    <t>CYMPO STP Loan to ADOT</t>
  </si>
  <si>
    <t>H851801C</t>
  </si>
  <si>
    <t>JCT SR 89A - DEEP WELL RANCH ROAD</t>
  </si>
  <si>
    <t>089</t>
  </si>
  <si>
    <t>B</t>
  </si>
  <si>
    <t>212</t>
  </si>
  <si>
    <t>2018</t>
  </si>
  <si>
    <t>CYMPO18-T001</t>
  </si>
  <si>
    <t>Federal Fiscal Year 2017</t>
  </si>
  <si>
    <t>PCY1701P</t>
  </si>
  <si>
    <t>CYMPO 2017 WP - SPR</t>
  </si>
  <si>
    <t>S</t>
  </si>
  <si>
    <t>017</t>
  </si>
  <si>
    <t>CYMPO-16L2</t>
  </si>
  <si>
    <t>CYMPO PL Loan to ADOT</t>
  </si>
  <si>
    <t>CYMPO-16L3</t>
  </si>
  <si>
    <t>CYMPO HSIP Loan to ADOT</t>
  </si>
  <si>
    <t>PCY1801P</t>
  </si>
  <si>
    <t>CYMPO 2018 WP - SPR</t>
  </si>
  <si>
    <t>018</t>
  </si>
  <si>
    <t>State FY 17 Approved work program amount</t>
  </si>
  <si>
    <t>State FY 18 amount avaiilable for authorization 07/1/17 - 09/30/17 (request must be submitted by 09/01/17)</t>
  </si>
  <si>
    <t>Total SPR apportionments for Federal Fiscal Year 17 (as shown on ledger)</t>
  </si>
  <si>
    <t>State FY 17 amount authorized prior to 09/30/16 or Lapsed FY16 funding</t>
  </si>
  <si>
    <t xml:space="preserve">State FY 17 amount available for authorization 10/01/16 - 06/30/17 </t>
  </si>
  <si>
    <t>PCY1702P</t>
  </si>
  <si>
    <t>CYMPO 2017 WP - PL</t>
  </si>
  <si>
    <t>P</t>
  </si>
  <si>
    <t>CY-YYV-12-17</t>
  </si>
  <si>
    <t>The  OA/Apportionments rate for FFY 17 is 94.9%.  The rate for calculations is 0.949. This rate is subject to change based on additonal congressional action.</t>
  </si>
  <si>
    <t>NACOGCYMPO-17</t>
  </si>
  <si>
    <t>2019</t>
  </si>
  <si>
    <t>Toltec Rd</t>
  </si>
  <si>
    <t>NACOG STP Loan to CYMPO</t>
  </si>
  <si>
    <t>PCY1703P</t>
  </si>
  <si>
    <t>N/A</t>
  </si>
  <si>
    <t>SR89A CORRIDOR STUDY</t>
  </si>
  <si>
    <t>T</t>
  </si>
  <si>
    <t>CYMPONACOG-17T1</t>
  </si>
  <si>
    <t>Regional Safety Plan</t>
  </si>
  <si>
    <t>CYMPO HSIP transfer to NACOG</t>
  </si>
  <si>
    <t>SH59803D</t>
  </si>
  <si>
    <t>CY-YYV-12-05</t>
  </si>
  <si>
    <t>CENTRAL YAV METRO ORGZ--CYMPO VARIOUS LOCATIONS</t>
  </si>
  <si>
    <t>201</t>
  </si>
  <si>
    <t>SH59801C</t>
  </si>
  <si>
    <t>CY-MPO-16-09</t>
  </si>
  <si>
    <t>PCY1802P</t>
  </si>
  <si>
    <t>CYMPO 2018 WP - PL</t>
  </si>
  <si>
    <t>Carry Forward to FFY 18</t>
  </si>
  <si>
    <t>Planned Lapsing - 06/30/17</t>
  </si>
  <si>
    <t>Lapsed - 07/01/17</t>
  </si>
  <si>
    <t>Planned Lapsing - 09/30/17</t>
  </si>
  <si>
    <t>CYMPOADOT-17T1</t>
  </si>
  <si>
    <t>SR69 Design</t>
  </si>
  <si>
    <t>CYMPOADOT-17L1</t>
  </si>
  <si>
    <t>PCY1806P</t>
  </si>
  <si>
    <t>CYMPO SPR Loan to ADOT</t>
  </si>
  <si>
    <t>CYMPOADOT-17L2</t>
  </si>
  <si>
    <t>Regional Signs</t>
  </si>
  <si>
    <t>CYMPOADOT-17L3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</si>
</sst>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
      <sz val="9"/>
      <name val="Arial Unicode MS"/>
      <family val="2"/>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C5D9F1"/>
        <bgColor indexed="64"/>
      </patternFill>
    </fill>
    <fill>
      <patternFill patternType="solid">
        <fgColor rgb="FFC5D9F1"/>
        <bgColor theme="8"/>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8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1"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5"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23" fillId="2" borderId="1" xfId="0" applyNumberFormat="1" applyFont="1" applyFill="1" applyBorder="1" applyAlignment="1">
      <alignment horizontal="center" vertical="center" wrapText="1"/>
    </xf>
    <xf numFmtId="14" fontId="19" fillId="0" borderId="8" xfId="1" applyNumberFormat="1" applyFont="1" applyFill="1" applyBorder="1" applyAlignment="1">
      <alignment horizontal="center" vertical="center" wrapText="1"/>
    </xf>
    <xf numFmtId="40" fontId="19" fillId="0" borderId="13"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3" fontId="13" fillId="0" borderId="0" xfId="3" applyFont="1" applyBorder="1"/>
    <xf numFmtId="40" fontId="19" fillId="0" borderId="7"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3" fillId="0" borderId="0" xfId="0" applyNumberFormat="1" applyFont="1" applyBorder="1" applyAlignment="1">
      <alignment vertical="top" wrapText="1"/>
    </xf>
    <xf numFmtId="40" fontId="27" fillId="2" borderId="0" xfId="0" applyNumberFormat="1" applyFont="1" applyFill="1" applyBorder="1" applyAlignment="1">
      <alignment horizontal="center" vertical="center"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0" fontId="20" fillId="0" borderId="0" xfId="0" applyNumberFormat="1" applyFont="1" applyBorder="1" applyAlignment="1">
      <alignment horizontal="right" vertical="top"/>
    </xf>
    <xf numFmtId="43" fontId="30" fillId="0" borderId="0" xfId="3" applyFont="1"/>
    <xf numFmtId="43" fontId="30" fillId="0" borderId="0" xfId="3" applyFont="1" applyBorder="1"/>
    <xf numFmtId="14" fontId="27" fillId="0" borderId="0" xfId="0" applyNumberFormat="1" applyFont="1" applyAlignment="1">
      <alignment horizontal="right" vertical="top" wrapText="1"/>
    </xf>
    <xf numFmtId="40" fontId="29" fillId="5" borderId="1" xfId="0" applyNumberFormat="1" applyFont="1" applyFill="1" applyBorder="1" applyAlignment="1">
      <alignment horizontal="center" vertical="center" wrapText="1"/>
    </xf>
    <xf numFmtId="14" fontId="20" fillId="0" borderId="0" xfId="0" applyNumberFormat="1" applyFont="1" applyBorder="1" applyAlignment="1">
      <alignment horizontal="center" vertical="top"/>
    </xf>
    <xf numFmtId="40" fontId="20" fillId="0" borderId="0" xfId="0" applyNumberFormat="1" applyFont="1" applyBorder="1" applyAlignment="1">
      <alignment horizontal="center" vertical="top"/>
    </xf>
    <xf numFmtId="14" fontId="20" fillId="2" borderId="0" xfId="0" applyNumberFormat="1" applyFont="1" applyFill="1" applyBorder="1" applyAlignment="1">
      <alignment horizontal="center" vertical="top" wrapText="1"/>
    </xf>
    <xf numFmtId="40" fontId="20" fillId="0" borderId="0" xfId="0" applyNumberFormat="1" applyFont="1" applyBorder="1" applyAlignment="1">
      <alignment horizontal="center" vertical="top" wrapText="1"/>
    </xf>
    <xf numFmtId="40" fontId="27" fillId="0" borderId="0" xfId="0" applyNumberFormat="1" applyFont="1" applyBorder="1" applyAlignment="1">
      <alignment horizontal="center" vertical="top" wrapText="1"/>
    </xf>
    <xf numFmtId="0" fontId="14" fillId="0" borderId="0" xfId="0" applyFont="1" applyAlignment="1">
      <alignment vertical="center"/>
    </xf>
    <xf numFmtId="0" fontId="14" fillId="0" borderId="0" xfId="0" applyFont="1" applyAlignment="1">
      <alignment horizontal="right" vertical="center"/>
    </xf>
    <xf numFmtId="40" fontId="20" fillId="4" borderId="1" xfId="0" applyNumberFormat="1" applyFont="1" applyFill="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Border="1" applyAlignment="1">
      <alignment vertical="top"/>
    </xf>
    <xf numFmtId="40" fontId="20" fillId="0" borderId="1" xfId="0" applyNumberFormat="1" applyFont="1" applyFill="1" applyBorder="1" applyAlignment="1">
      <alignment horizontal="right" vertical="top"/>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3" fontId="31" fillId="0" borderId="0" xfId="3" applyFont="1"/>
    <xf numFmtId="40" fontId="20" fillId="0" borderId="3" xfId="0" applyNumberFormat="1" applyFont="1" applyBorder="1" applyAlignment="1">
      <alignment horizontal="right" vertical="top"/>
    </xf>
    <xf numFmtId="40" fontId="20" fillId="0" borderId="9" xfId="0" applyNumberFormat="1" applyFont="1" applyBorder="1" applyAlignment="1">
      <alignment horizontal="right" vertical="top"/>
    </xf>
    <xf numFmtId="40" fontId="20" fillId="0" borderId="4" xfId="0" applyNumberFormat="1" applyFont="1" applyBorder="1" applyAlignment="1">
      <alignment horizontal="right" vertical="top"/>
    </xf>
    <xf numFmtId="40" fontId="20" fillId="0" borderId="3" xfId="0" applyNumberFormat="1" applyFont="1" applyFill="1" applyBorder="1" applyAlignment="1">
      <alignment horizontal="right" vertical="top"/>
    </xf>
    <xf numFmtId="40" fontId="20" fillId="0" borderId="9"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19" xfId="0" applyNumberFormat="1" applyFont="1" applyFill="1" applyBorder="1" applyAlignment="1">
      <alignment vertical="top"/>
    </xf>
    <xf numFmtId="40" fontId="20" fillId="0" borderId="1" xfId="0" applyNumberFormat="1" applyFont="1" applyFill="1" applyBorder="1" applyAlignment="1">
      <alignment vertical="top"/>
    </xf>
    <xf numFmtId="40" fontId="20" fillId="0" borderId="9" xfId="0" applyNumberFormat="1" applyFont="1" applyFill="1" applyBorder="1" applyAlignment="1">
      <alignment vertical="top"/>
    </xf>
    <xf numFmtId="40" fontId="20" fillId="0" borderId="3" xfId="0" applyNumberFormat="1" applyFont="1" applyFill="1" applyBorder="1" applyAlignment="1">
      <alignment vertical="top"/>
    </xf>
    <xf numFmtId="40" fontId="26" fillId="0" borderId="19" xfId="0" applyNumberFormat="1" applyFont="1" applyFill="1" applyBorder="1" applyAlignment="1">
      <alignment horizontal="right" vertical="top"/>
    </xf>
    <xf numFmtId="40" fontId="26" fillId="0" borderId="1" xfId="0" applyNumberFormat="1" applyFont="1" applyFill="1" applyBorder="1" applyAlignment="1">
      <alignment horizontal="right" vertical="top"/>
    </xf>
    <xf numFmtId="40" fontId="26" fillId="0" borderId="9"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3" xfId="0" applyNumberFormat="1" applyFont="1" applyFill="1" applyBorder="1" applyAlignment="1">
      <alignment horizontal="right" vertical="top"/>
    </xf>
    <xf numFmtId="40" fontId="24" fillId="0" borderId="0" xfId="0" applyNumberFormat="1" applyFont="1" applyBorder="1" applyAlignment="1">
      <alignment vertical="top"/>
    </xf>
    <xf numFmtId="40" fontId="27" fillId="0" borderId="0" xfId="0" applyNumberFormat="1" applyFont="1" applyBorder="1" applyAlignment="1">
      <alignment horizontal="right" vertical="top"/>
    </xf>
    <xf numFmtId="0" fontId="14" fillId="0" borderId="0" xfId="0" applyFont="1" applyBorder="1" applyAlignment="1">
      <alignment vertical="top"/>
    </xf>
    <xf numFmtId="43" fontId="32" fillId="0" borderId="0" xfId="3" applyFont="1"/>
    <xf numFmtId="40" fontId="20" fillId="0" borderId="5" xfId="0" applyNumberFormat="1" applyFont="1" applyBorder="1" applyAlignment="1">
      <alignment horizontal="right" vertical="top"/>
    </xf>
    <xf numFmtId="43" fontId="20" fillId="0" borderId="0" xfId="0" applyNumberFormat="1" applyFont="1" applyBorder="1" applyAlignment="1">
      <alignment vertical="top"/>
    </xf>
    <xf numFmtId="0" fontId="33" fillId="0" borderId="0" xfId="0" applyFont="1" applyAlignment="1">
      <alignment vertical="top" wrapText="1"/>
    </xf>
    <xf numFmtId="0" fontId="33" fillId="0" borderId="0" xfId="0" applyFont="1" applyAlignment="1">
      <alignment horizontal="center" vertical="top" wrapText="1"/>
    </xf>
    <xf numFmtId="14" fontId="33" fillId="0" borderId="0" xfId="0" applyNumberFormat="1" applyFont="1" applyAlignment="1">
      <alignment horizontal="right" vertical="top" wrapText="1"/>
    </xf>
    <xf numFmtId="40" fontId="33" fillId="0" borderId="0" xfId="0" applyNumberFormat="1" applyFont="1" applyAlignment="1">
      <alignment vertical="top"/>
    </xf>
    <xf numFmtId="40" fontId="33" fillId="0" borderId="0" xfId="0" applyNumberFormat="1" applyFont="1" applyAlignment="1">
      <alignment horizontal="right" vertical="top"/>
    </xf>
    <xf numFmtId="43" fontId="34" fillId="0" borderId="0" xfId="3" applyFont="1"/>
    <xf numFmtId="40" fontId="20" fillId="0" borderId="3" xfId="0" applyNumberFormat="1" applyFont="1" applyFill="1" applyBorder="1" applyAlignment="1">
      <alignment horizontal="right" vertical="top" wrapText="1"/>
    </xf>
    <xf numFmtId="43" fontId="35" fillId="0" borderId="0" xfId="3" applyFont="1"/>
    <xf numFmtId="0" fontId="0" fillId="0" borderId="0" xfId="0" applyAlignment="1">
      <alignment horizontal="left" vertical="top" wrapText="1"/>
    </xf>
    <xf numFmtId="14" fontId="36" fillId="0" borderId="0" xfId="0" applyNumberFormat="1" applyFont="1" applyBorder="1" applyAlignment="1">
      <alignment vertical="top" wrapText="1"/>
    </xf>
    <xf numFmtId="40" fontId="37" fillId="0" borderId="0" xfId="0" applyNumberFormat="1" applyFont="1" applyBorder="1" applyAlignment="1">
      <alignment horizontal="left" vertical="top" wrapText="1"/>
    </xf>
    <xf numFmtId="40" fontId="37" fillId="0" borderId="0" xfId="0" applyNumberFormat="1" applyFont="1" applyBorder="1" applyAlignment="1">
      <alignment horizontal="center" vertical="top" wrapText="1"/>
    </xf>
    <xf numFmtId="14" fontId="37" fillId="0" borderId="0" xfId="0" applyNumberFormat="1" applyFont="1" applyAlignment="1">
      <alignment horizontal="right" vertical="top" wrapText="1"/>
    </xf>
    <xf numFmtId="40" fontId="37" fillId="0" borderId="0" xfId="0" applyNumberFormat="1" applyFont="1" applyBorder="1" applyAlignment="1">
      <alignment horizontal="right" vertical="top"/>
    </xf>
    <xf numFmtId="40" fontId="36" fillId="0" borderId="0" xfId="0" applyNumberFormat="1" applyFont="1" applyBorder="1" applyAlignment="1">
      <alignment horizontal="right" vertical="top"/>
    </xf>
    <xf numFmtId="43" fontId="38" fillId="0" borderId="0" xfId="3" applyFont="1"/>
    <xf numFmtId="40" fontId="39" fillId="0" borderId="0" xfId="0" applyNumberFormat="1" applyFont="1" applyAlignment="1">
      <alignment horizontal="right" vertical="top"/>
    </xf>
    <xf numFmtId="14" fontId="39" fillId="0" borderId="0" xfId="0" applyNumberFormat="1" applyFont="1" applyBorder="1" applyAlignment="1">
      <alignment vertical="top" wrapText="1"/>
    </xf>
    <xf numFmtId="40" fontId="40" fillId="0" borderId="0" xfId="0" applyNumberFormat="1" applyFont="1" applyAlignment="1">
      <alignment horizontal="left" vertical="top" wrapText="1"/>
    </xf>
    <xf numFmtId="40" fontId="40" fillId="0" borderId="0" xfId="0" applyNumberFormat="1" applyFont="1" applyAlignment="1">
      <alignment horizontal="center" vertical="top" wrapText="1"/>
    </xf>
    <xf numFmtId="14" fontId="40" fillId="0" borderId="0" xfId="0" applyNumberFormat="1" applyFont="1" applyAlignment="1">
      <alignment horizontal="right" vertical="top" wrapText="1"/>
    </xf>
    <xf numFmtId="40" fontId="40" fillId="0" borderId="0" xfId="0" applyNumberFormat="1" applyFont="1" applyAlignment="1">
      <alignment horizontal="right" vertical="top"/>
    </xf>
    <xf numFmtId="14" fontId="41" fillId="0" borderId="0" xfId="0" applyNumberFormat="1" applyFont="1" applyBorder="1" applyAlignment="1">
      <alignment vertical="top" wrapText="1"/>
    </xf>
    <xf numFmtId="40" fontId="42" fillId="0" borderId="0" xfId="0" applyNumberFormat="1" applyFont="1" applyAlignment="1">
      <alignment horizontal="left" vertical="top" wrapText="1"/>
    </xf>
    <xf numFmtId="40" fontId="42" fillId="0" borderId="0" xfId="0" applyNumberFormat="1" applyFont="1" applyAlignment="1">
      <alignment horizontal="center" vertical="top" wrapText="1"/>
    </xf>
    <xf numFmtId="14" fontId="42" fillId="0" borderId="0" xfId="0" applyNumberFormat="1" applyFont="1" applyAlignment="1">
      <alignment horizontal="right" vertical="top" wrapText="1"/>
    </xf>
    <xf numFmtId="40" fontId="42" fillId="0" borderId="0" xfId="0" applyNumberFormat="1" applyFont="1" applyAlignment="1">
      <alignment horizontal="right" vertical="top"/>
    </xf>
    <xf numFmtId="40" fontId="41" fillId="0" borderId="0" xfId="0" applyNumberFormat="1" applyFont="1" applyAlignment="1">
      <alignment horizontal="right" vertical="top"/>
    </xf>
    <xf numFmtId="14" fontId="43" fillId="0" borderId="0" xfId="0" applyNumberFormat="1" applyFont="1" applyAlignment="1">
      <alignment vertical="top" wrapText="1"/>
    </xf>
    <xf numFmtId="40" fontId="44" fillId="0" borderId="0" xfId="0" applyNumberFormat="1" applyFont="1" applyAlignment="1">
      <alignment horizontal="left" vertical="top" wrapText="1"/>
    </xf>
    <xf numFmtId="40" fontId="44" fillId="0" borderId="0" xfId="0" applyNumberFormat="1" applyFont="1" applyAlignment="1">
      <alignment horizontal="center" vertical="top" wrapText="1"/>
    </xf>
    <xf numFmtId="14" fontId="44" fillId="0" borderId="0" xfId="0" applyNumberFormat="1" applyFont="1" applyAlignment="1">
      <alignment horizontal="right" vertical="top" wrapText="1"/>
    </xf>
    <xf numFmtId="40" fontId="44" fillId="0" borderId="0" xfId="0" applyNumberFormat="1" applyFont="1" applyAlignment="1">
      <alignment horizontal="right" vertical="top"/>
    </xf>
    <xf numFmtId="40" fontId="43" fillId="0" borderId="0" xfId="0" applyNumberFormat="1" applyFont="1" applyAlignment="1">
      <alignment horizontal="right" vertical="top"/>
    </xf>
    <xf numFmtId="43" fontId="45" fillId="0" borderId="0" xfId="3" applyFont="1"/>
    <xf numFmtId="40" fontId="23" fillId="0" borderId="11"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2"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6" xfId="0" applyNumberFormat="1" applyFont="1" applyBorder="1" applyAlignment="1">
      <alignment horizontal="center" vertical="top" wrapText="1"/>
    </xf>
    <xf numFmtId="14" fontId="16" fillId="0" borderId="12" xfId="0" applyNumberFormat="1" applyFont="1" applyBorder="1" applyAlignment="1">
      <alignment horizontal="center" vertical="top" wrapText="1"/>
    </xf>
    <xf numFmtId="14" fontId="16" fillId="0" borderId="10" xfId="0" applyNumberFormat="1" applyFont="1" applyBorder="1" applyAlignment="1">
      <alignment horizontal="center" vertical="top" wrapText="1"/>
    </xf>
    <xf numFmtId="40" fontId="29" fillId="4" borderId="16" xfId="1" applyNumberFormat="1" applyFont="1" applyFill="1" applyBorder="1" applyAlignment="1">
      <alignment horizontal="center" vertical="center"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0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C5D9F1"/>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3"/>
      <tableStyleElement type="firstRowStripe" dxfId="102"/>
    </tableStyle>
    <tableStyle name="Table Style 2" pivot="0" count="1">
      <tableStyleElement type="firstRowStripe" dxfId="101"/>
    </tableStyle>
    <tableStyle name="Table Style 3" pivot="0" count="1">
      <tableStyleElement type="firstRowStripe" dxfId="100"/>
    </tableStyle>
    <tableStyle name="Table Style 4" pivot="0" count="3">
      <tableStyleElement type="wholeTable" dxfId="99"/>
      <tableStyleElement type="headerRow" dxfId="98"/>
      <tableStyleElement type="firstRowStripe" dxfId="97"/>
    </tableStyle>
  </tableStyles>
  <colors>
    <mruColors>
      <color rgb="FFC5D9F1"/>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1"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0" dataBound="0" tableColumnId="17"/>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1"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0" dataBound="0" tableColumnId="17"/>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_1" connectionId="3" autoFormatId="16" applyNumberFormats="0" applyBorderFormats="0" applyFontFormats="0" applyPatternFormats="0" applyAlignmentFormats="0" applyWidthHeightFormats="0">
  <queryTableRefresh nextId="42">
    <queryTableFields count="18">
      <queryTableField id="1" name="Transaction Year" tableColumnId="1"/>
      <queryTableField id="2" name="Transaction Type" tableColumnId="2"/>
      <queryTableField id="3" name="Number" tableColumnId="3"/>
      <queryTableField id="23" name="From" tableColumnId="43"/>
      <queryTableField id="24" name="To" tableColumnId="44"/>
      <queryTableField id="6" name="Repayment Year" tableColumnId="6"/>
      <queryTableField id="25" name="Project8" tableColumnId="45"/>
      <queryTableField id="26" name="Notes" tableColumnId="4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queryTables/queryTable4.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6" dataDxfId="94" headerRowBorderDxfId="95" tableBorderDxfId="93" totalsRowBorderDxfId="92" headerRowCellStyle="Currency">
  <autoFilter ref="M3:S12"/>
  <tableColumns count="7">
    <tableColumn id="1" name="Description" dataDxfId="91"/>
    <tableColumn id="4" name="HSIP/3" dataDxfId="90"/>
    <tableColumn id="2" name="PL" dataDxfId="89"/>
    <tableColumn id="5" name="SPR /4" dataDxfId="88"/>
    <tableColumn id="6" name="STP other" dataDxfId="87"/>
    <tableColumn id="7" name="Total" dataDxfId="86"/>
    <tableColumn id="8" name="FFY OBLIGATION AUTHORITY /2" dataDxfId="8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24" tableType="queryTable" totalsRowShown="0" headerRowDxfId="84" dataDxfId="83" tableBorderDxfId="82">
  <autoFilter ref="A15:S24"/>
  <tableColumns count="19">
    <tableColumn id="1" uniqueName="1" name="ADOT#" queryTableFieldId="1" dataDxfId="81"/>
    <tableColumn id="2" uniqueName="2" name="TIP#" queryTableFieldId="2" dataDxfId="80"/>
    <tableColumn id="3" uniqueName="3" name="Sponsor" queryTableFieldId="3" dataDxfId="79"/>
    <tableColumn id="4" uniqueName="4" name="Action/15" queryTableFieldId="4" dataDxfId="78"/>
    <tableColumn id="5" uniqueName="5" name="Location" queryTableFieldId="5" dataDxfId="77"/>
    <tableColumn id="6" uniqueName="6" name="RTE" queryTableFieldId="6" dataDxfId="76"/>
    <tableColumn id="7" uniqueName="7" name="SEC" queryTableFieldId="7" dataDxfId="75"/>
    <tableColumn id="8" uniqueName="8" name="SEQ" queryTableFieldId="8" dataDxfId="74"/>
    <tableColumn id="17" uniqueName="17" name="FED #" queryTableFieldId="20" dataDxfId="73">
      <calculatedColumnFormula>CONCATENATE(Table_Query_from_MS_Access_Database8[[#This Row],[RTE]],Table_Query_from_MS_Access_Database8[[#This Row],[SEC]],Table_Query_from_MS_Access_Database8[[#This Row],[SEQ]])</calculatedColumnFormula>
    </tableColumn>
    <tableColumn id="9" uniqueName="9" name="PB Expected" queryTableFieldId="9" dataDxfId="72"/>
    <tableColumn id="10" uniqueName="10" name="PB Received" queryTableFieldId="10" dataDxfId="71"/>
    <tableColumn id="11" uniqueName="11" name="PF Transmitted" queryTableFieldId="11" dataDxfId="70"/>
    <tableColumn id="12" uniqueName="12" name="Finance Authorization" queryTableFieldId="12" dataDxfId="69"/>
    <tableColumn id="13" uniqueName="13" name="HSIP" queryTableFieldId="13" dataDxfId="68"/>
    <tableColumn id="14" uniqueName="14" name="PL" queryTableFieldId="14" dataDxfId="67"/>
    <tableColumn id="15" uniqueName="15" name="SPR" queryTableFieldId="15" dataDxfId="66"/>
    <tableColumn id="16" uniqueName="16" name="STP OTHER" queryTableFieldId="16" dataDxfId="65"/>
    <tableColumn id="18" uniqueName="18" name="TOTAL OF AMOUNT" queryTableFieldId="18" dataDxfId="64">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63">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9:S30" tableType="queryTable" totalsRowShown="0" headerRowDxfId="62" dataDxfId="61">
  <autoFilter ref="A29:S30"/>
  <sortState ref="A30:S30">
    <sortCondition ref="J22:J26"/>
  </sortState>
  <tableColumns count="19">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17" uniqueName="17" name="FED #" queryTableFieldId="20" dataDxfId="52">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SIP" queryTableFieldId="13" dataDxfId="47"/>
    <tableColumn id="14" uniqueName="14" name="PL" queryTableFieldId="14" dataDxfId="46"/>
    <tableColumn id="15" uniqueName="15" name="SPR" queryTableFieldId="15" dataDxfId="45"/>
    <tableColumn id="16" uniqueName="16" name="STP OTHER" queryTableFieldId="16" dataDxfId="44"/>
    <tableColumn id="18" uniqueName="18" name="TOTAL OF AMOUNT" queryTableFieldId="18" dataDxfId="43"/>
    <tableColumn id="19" uniqueName="19" name="EXPECTED DECLINING BALANCE OA" queryTableFieldId="19" dataDxfId="42">
      <calculatedColumnFormula>S24-Table_Query_from_MS_Access_Database_1[TOTAL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5" name="Table_Query_from_MS_Access_Database_16" displayName="Table_Query_from_MS_Access_Database_16" ref="A53:R89" tableType="queryTable" totalsRowShown="0" headerRowDxfId="41" dataDxfId="40" tableBorderDxfId="39" headerRowCellStyle="Comma" dataCellStyle="Comma">
  <autoFilter ref="A53:R89"/>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43" uniqueName="43" name="From" queryTableFieldId="23" dataDxfId="35" dataCellStyle="Comma"/>
    <tableColumn id="44" uniqueName="44" name="To" queryTableFieldId="24" dataDxfId="34" dataCellStyle="Comma"/>
    <tableColumn id="6" uniqueName="6" name="Repayment Year" queryTableFieldId="6" dataDxfId="33" dataCellStyle="Comma"/>
    <tableColumn id="45" uniqueName="45" name="Project8" queryTableFieldId="25" dataDxfId="32" dataCellStyle="Comma"/>
    <tableColumn id="46" uniqueName="46" name="Notes" queryTableFieldId="26" dataDxfId="31" dataCellStyle="Comma"/>
    <tableColumn id="9" uniqueName="9" name="Total" queryTableFieldId="9" dataDxfId="30" dataCellStyle="Comma"/>
    <tableColumn id="10" uniqueName="10" name="CMAQ" queryTableFieldId="10" dataDxfId="29" dataCellStyle="Comma"/>
    <tableColumn id="11" uniqueName="11" name="CMAQ 2_5" queryTableFieldId="11" dataDxfId="28" dataCellStyle="Comma"/>
    <tableColumn id="12" uniqueName="12" name="HSIP" queryTableFieldId="12" dataDxfId="27" dataCellStyle="Comma"/>
    <tableColumn id="13" uniqueName="13" name="PL" queryTableFieldId="13" dataDxfId="26" dataCellStyle="Comma"/>
    <tableColumn id="14" uniqueName="14" name="SPR" queryTableFieldId="14" dataDxfId="25" dataCellStyle="Comma"/>
    <tableColumn id="15" uniqueName="15" name="STP other" queryTableFieldId="15" dataDxfId="24" dataCellStyle="Comma"/>
    <tableColumn id="16" uniqueName="16" name="STP over 200K" queryTableFieldId="16" dataDxfId="23" dataCellStyle="Comma"/>
    <tableColumn id="17" uniqueName="17" name="TA other" queryTableFieldId="17" dataDxfId="22" dataCellStyle="Comma"/>
    <tableColumn id="18" uniqueName="18" name="TA over 200K" queryTableFieldId="18" dataDxfId="21" dataCellStyle="Comma"/>
  </tableColumns>
  <tableStyleInfo name="Table Style 4" showFirstColumn="0" showLastColumn="0" showRowStripes="1" showColumnStripes="0"/>
</table>
</file>

<file path=xl/tables/table5.xml><?xml version="1.0" encoding="utf-8"?>
<table xmlns="http://schemas.openxmlformats.org/spreadsheetml/2006/main" id="2" name="Table_Query_from_MS_Access_Database" displayName="Table_Query_from_MS_Access_Database" ref="A11:R47" tableType="queryTable" totalsRowShown="0" headerRowDxfId="20" dataDxfId="19" tableBorderDxfId="18" headerRowCellStyle="Comma" dataCellStyle="Comma">
  <autoFilter ref="A11:R47"/>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4" uniqueName="4" name="From" queryTableFieldId="4" dataDxfId="14" dataCellStyle="Comma"/>
    <tableColumn id="5" uniqueName="5" name="To" queryTableFieldId="5" dataDxfId="13" dataCellStyle="Comma"/>
    <tableColumn id="6" uniqueName="6" name="Repayment Year" queryTableFieldId="6" dataDxfId="12" dataCellStyle="Comma"/>
    <tableColumn id="7" uniqueName="7" name="Project8" queryTableFieldId="7" dataDxfId="11" dataCellStyle="Comma"/>
    <tableColumn id="8" uniqueName="8" name="Notes" queryTableFieldId="8" dataDxfId="10" dataCellStyle="Comma"/>
    <tableColumn id="9" uniqueName="9" name="Total" queryTableFieldId="9" dataDxfId="9" dataCellStyle="Comma"/>
    <tableColumn id="10" uniqueName="10" name="CMAQ" queryTableFieldId="10" dataDxfId="8" dataCellStyle="Comma"/>
    <tableColumn id="11" uniqueName="11" name="CMAQ 2_5" queryTableFieldId="11" dataDxfId="7" dataCellStyle="Comma"/>
    <tableColumn id="12" uniqueName="12" name="HSIP" queryTableFieldId="12" dataDxfId="6" dataCellStyle="Comma"/>
    <tableColumn id="13" uniqueName="13" name="PL" queryTableFieldId="13" dataDxfId="5" dataCellStyle="Comma"/>
    <tableColumn id="14" uniqueName="14" name="SPR" queryTableFieldId="14" dataDxfId="4" dataCellStyle="Comma"/>
    <tableColumn id="15" uniqueName="15" name="STP other" queryTableFieldId="15" dataDxfId="3" dataCellStyle="Comma"/>
    <tableColumn id="16" uniqueName="16" name="STP over 200K" queryTableFieldId="16" dataDxfId="2" dataCellStyle="Comma"/>
    <tableColumn id="17" uniqueName="17" name="TA other" queryTableFieldId="17" dataDxfId="1" dataCellStyle="Comma"/>
    <tableColumn id="18" uniqueName="18" name="TA over 200K" queryTableFieldId="18" dataDxfId="0" dataCellStyle="Comma"/>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2"/>
  <sheetViews>
    <sheetView tabSelected="1" zoomScale="90" zoomScaleNormal="90" zoomScaleSheetLayoutView="75" workbookViewId="0">
      <selection sqref="A1:F1"/>
    </sheetView>
  </sheetViews>
  <sheetFormatPr defaultColWidth="32" defaultRowHeight="15.6" x14ac:dyDescent="0.3"/>
  <cols>
    <col min="1" max="4" width="13.6640625" style="32" customWidth="1"/>
    <col min="5" max="5" width="40.6640625" style="32" customWidth="1"/>
    <col min="6" max="7" width="9.88671875" style="32" hidden="1" customWidth="1"/>
    <col min="8" max="8" width="10" style="32" hidden="1" customWidth="1"/>
    <col min="9" max="9" width="11.6640625" style="32" customWidth="1"/>
    <col min="10" max="12" width="14.6640625" style="32" customWidth="1"/>
    <col min="13" max="13" width="23.6640625" style="32" customWidth="1"/>
    <col min="14" max="18" width="14.6640625" style="35" customWidth="1"/>
    <col min="19" max="19" width="18.6640625" style="35" customWidth="1"/>
    <col min="20" max="20" width="3.44140625" style="35" bestFit="1" customWidth="1"/>
    <col min="21" max="16384" width="32" style="32"/>
  </cols>
  <sheetData>
    <row r="1" spans="1:20" ht="23.25" customHeight="1" thickBot="1" x14ac:dyDescent="0.35">
      <c r="A1" s="156" t="s">
        <v>112</v>
      </c>
      <c r="B1" s="156"/>
      <c r="C1" s="156"/>
      <c r="D1" s="156"/>
      <c r="E1" s="156"/>
      <c r="F1" s="156"/>
      <c r="J1" s="33"/>
      <c r="K1" s="34"/>
      <c r="L1" s="33"/>
      <c r="M1" s="51"/>
      <c r="N1" s="159" t="s">
        <v>89</v>
      </c>
      <c r="O1" s="159"/>
      <c r="P1" s="159"/>
      <c r="Q1" s="159"/>
      <c r="R1" s="159"/>
      <c r="S1" s="159"/>
      <c r="T1" s="52"/>
    </row>
    <row r="2" spans="1:20" ht="17.25" customHeight="1" thickBot="1" x14ac:dyDescent="0.35">
      <c r="J2" s="33"/>
      <c r="K2" s="33"/>
      <c r="L2" s="33"/>
      <c r="M2" s="51"/>
      <c r="N2" s="164" t="s">
        <v>12</v>
      </c>
      <c r="O2" s="165"/>
      <c r="P2" s="165"/>
      <c r="Q2" s="165"/>
      <c r="R2" s="166"/>
      <c r="S2" s="52"/>
      <c r="T2" s="52"/>
    </row>
    <row r="3" spans="1:20" ht="26.4" x14ac:dyDescent="0.3">
      <c r="A3" s="160" t="s">
        <v>92</v>
      </c>
      <c r="B3" s="160"/>
      <c r="C3" s="160"/>
      <c r="D3" s="160"/>
      <c r="E3" s="37"/>
      <c r="F3" s="37"/>
      <c r="G3" s="37"/>
      <c r="J3" s="33"/>
      <c r="K3" s="33"/>
      <c r="L3" s="33"/>
      <c r="M3" s="63" t="s">
        <v>11</v>
      </c>
      <c r="N3" s="64" t="s">
        <v>70</v>
      </c>
      <c r="O3" s="68" t="s">
        <v>45</v>
      </c>
      <c r="P3" s="65" t="s">
        <v>64</v>
      </c>
      <c r="Q3" s="65" t="s">
        <v>6</v>
      </c>
      <c r="R3" s="66" t="s">
        <v>10</v>
      </c>
      <c r="S3" s="38" t="s">
        <v>15</v>
      </c>
      <c r="T3" s="36"/>
    </row>
    <row r="4" spans="1:20" ht="26.4" x14ac:dyDescent="0.3">
      <c r="A4" s="158" t="s">
        <v>165</v>
      </c>
      <c r="B4" s="158"/>
      <c r="C4" s="158"/>
      <c r="D4" s="158"/>
      <c r="E4" s="39"/>
      <c r="F4" s="39"/>
      <c r="G4" s="39"/>
      <c r="J4" s="33"/>
      <c r="K4" s="33"/>
      <c r="L4" s="33"/>
      <c r="M4" s="77" t="s">
        <v>133</v>
      </c>
      <c r="N4" s="99">
        <v>0</v>
      </c>
      <c r="O4" s="100">
        <v>0</v>
      </c>
      <c r="P4" s="93">
        <v>0</v>
      </c>
      <c r="Q4" s="95">
        <v>0</v>
      </c>
      <c r="R4" s="101">
        <f>Table1[[#This Row],[HSIP/3]]+Table1[[#This Row],[PL]]+Table1[[#This Row],[SPR /4]]</f>
        <v>0</v>
      </c>
      <c r="S4" s="99">
        <v>0</v>
      </c>
      <c r="T4" s="36"/>
    </row>
    <row r="5" spans="1:20" ht="26.4" x14ac:dyDescent="0.3">
      <c r="A5" s="90" t="s">
        <v>113</v>
      </c>
      <c r="B5" s="91"/>
      <c r="C5" s="61">
        <v>43008</v>
      </c>
      <c r="J5" s="33"/>
      <c r="K5" s="33"/>
      <c r="L5" s="33"/>
      <c r="M5" s="78" t="s">
        <v>132</v>
      </c>
      <c r="N5" s="126">
        <v>519767</v>
      </c>
      <c r="O5" s="103">
        <f>118141</f>
        <v>118141</v>
      </c>
      <c r="P5" s="95">
        <f>Notes!D13</f>
        <v>125000</v>
      </c>
      <c r="Q5" s="95">
        <f>517718+166427</f>
        <v>684145</v>
      </c>
      <c r="R5" s="104">
        <f>SUM(Table1[[#This Row],[HSIP/3]:[STP other]])</f>
        <v>1447053</v>
      </c>
      <c r="S5" s="102">
        <f>ROUND(Table1[[#This Row],[Total]]*0.949,0)</f>
        <v>1373253</v>
      </c>
      <c r="T5" s="40" t="s">
        <v>72</v>
      </c>
    </row>
    <row r="6" spans="1:20" x14ac:dyDescent="0.3">
      <c r="J6" s="33"/>
      <c r="K6" s="33"/>
      <c r="L6" s="33"/>
      <c r="M6" s="78" t="s">
        <v>80</v>
      </c>
      <c r="N6" s="105">
        <f>SUMIFS(Table_Query_from_MS_Access_Database[[#All],[HSIP]],Table_Query_from_MS_Access_Database[[#All],[Transaction Year]],"2017",Table_Query_from_MS_Access_Database[[#All],[Transaction Type]],"loan in")</f>
        <v>0</v>
      </c>
      <c r="O6" s="107">
        <f>SUMIFS(Table_Query_from_MS_Access_Database[[#All],[PL]],Table_Query_from_MS_Access_Database[[#All],[Transaction Year]],"2017",Table_Query_from_MS_Access_Database[[#All],[Transaction Type]],"loan in")</f>
        <v>0</v>
      </c>
      <c r="P6" s="107">
        <f>SUMIFS(Table_Query_from_MS_Access_Database[[#All],[SPR]],Table_Query_from_MS_Access_Database[[#All],[Transaction Year]],"2017",Table_Query_from_MS_Access_Database[[#All],[Transaction Type]],"loan in")</f>
        <v>0</v>
      </c>
      <c r="Q6" s="107">
        <f>SUMIFS(Table_Query_from_MS_Access_Database[[#All],[STP other]],Table_Query_from_MS_Access_Database[[#All],[Transaction Year]],"2017",Table_Query_from_MS_Access_Database[[#All],[Transaction Type]],"loan in")</f>
        <v>650000</v>
      </c>
      <c r="R6" s="104">
        <f t="shared" ref="R6:R12" si="0">SUM(N6:Q6)</f>
        <v>650000</v>
      </c>
      <c r="S6" s="108">
        <f>SUMIFS(Table_Query_from_MS_Access_Database_16[[#All],[Total]],Table_Query_from_MS_Access_Database_16[[#All],[Transaction Year]],"2017",Table_Query_from_MS_Access_Database_16[[#All],[Transaction Type]],"Loan In")</f>
        <v>650000</v>
      </c>
      <c r="T6" s="36"/>
    </row>
    <row r="7" spans="1:20" x14ac:dyDescent="0.3">
      <c r="A7" s="42"/>
      <c r="J7" s="33"/>
      <c r="K7" s="33"/>
      <c r="L7" s="33"/>
      <c r="M7" s="78" t="s">
        <v>81</v>
      </c>
      <c r="N7" s="105">
        <f>SUMIFS(Table_Query_from_MS_Access_Database[[#All],[HSIP]],Table_Query_from_MS_Access_Database[[#All],[Transaction Year]],"2017",Table_Query_from_MS_Access_Database[[#All],[Transaction Type]],"loan out")</f>
        <v>-274788.05</v>
      </c>
      <c r="O7" s="107">
        <f>SUMIFS(Table_Query_from_MS_Access_Database[[#All],[PL]],Table_Query_from_MS_Access_Database[[#All],[Transaction Year]],"2017",Table_Query_from_MS_Access_Database[[#All],[Transaction Type]],"loan Out")</f>
        <v>-25000</v>
      </c>
      <c r="P7" s="107">
        <f>SUMIFS(Table_Query_from_MS_Access_Database[[#All],[SPR]],Table_Query_from_MS_Access_Database[[#All],[Transaction Year]],"2017",Table_Query_from_MS_Access_Database[[#All],[Transaction Type]],"loan Out")</f>
        <v>-25000</v>
      </c>
      <c r="Q7" s="107">
        <f>SUMIFS(Table_Query_from_MS_Access_Database[[#All],[STP other]],Table_Query_from_MS_Access_Database[[#All],[Transaction Year]],"2017",Table_Query_from_MS_Access_Database[[#All],[Transaction Type]],"loan Out")</f>
        <v>-604835.57999999996</v>
      </c>
      <c r="R7" s="104">
        <f t="shared" si="0"/>
        <v>-929623.62999999989</v>
      </c>
      <c r="S7" s="108">
        <f>SUMIFS(Table_Query_from_MS_Access_Database_16[[#All],[Total]],Table_Query_from_MS_Access_Database_16[[#All],[Transaction Year]],"2017",Table_Query_from_MS_Access_Database_16[[#All],[Transaction Type]],"Loan Out")</f>
        <v>-929623.62999999989</v>
      </c>
      <c r="T7" s="36"/>
    </row>
    <row r="8" spans="1:20" x14ac:dyDescent="0.3">
      <c r="J8" s="33"/>
      <c r="K8" s="33"/>
      <c r="L8" s="33"/>
      <c r="M8" s="77" t="s">
        <v>82</v>
      </c>
      <c r="N8" s="105">
        <f>SUMIFS(Table_Query_from_MS_Access_Database[[#All],[HSIP]],Table_Query_from_MS_Access_Database[[#All],[Transaction Year]],"2017",Table_Query_from_MS_Access_Database[[#All],[Transaction Type]],"repayment in")</f>
        <v>593000</v>
      </c>
      <c r="O8" s="107">
        <f>SUMIFS(Table_Query_from_MS_Access_Database[[#All],[PL]],Table_Query_from_MS_Access_Database[[#All],[Transaction Year]],"2017",Table_Query_from_MS_Access_Database[[#All],[Transaction Type]],"repayment in")</f>
        <v>25090.12</v>
      </c>
      <c r="P8" s="107">
        <f>SUMIFS(Table_Query_from_MS_Access_Database[[#All],[SPR]],Table_Query_from_MS_Access_Database[[#All],[Transaction Year]],"2017",Table_Query_from_MS_Access_Database[[#All],[Transaction Type]],"repayment in")</f>
        <v>0</v>
      </c>
      <c r="Q8" s="107">
        <f>SUMIFS(Table_Query_from_MS_Access_Database[[#All],[STP other]],Table_Query_from_MS_Access_Database[[#All],[Transaction Year]],"2017",Table_Query_from_MS_Access_Database[[#All],[Transaction Type]],"repayment in")</f>
        <v>101935.70999999999</v>
      </c>
      <c r="R8" s="104">
        <f t="shared" si="0"/>
        <v>720025.83</v>
      </c>
      <c r="S8" s="108">
        <f>SUMIFS(Table_Query_from_MS_Access_Database_16[[#All],[Total]],Table_Query_from_MS_Access_Database_16[[#All],[Transaction Year]],"2017",Table_Query_from_MS_Access_Database_16[[#All],[Transaction Type]],"repayment In")</f>
        <v>720025.83</v>
      </c>
      <c r="T8" s="36"/>
    </row>
    <row r="9" spans="1:20" x14ac:dyDescent="0.3">
      <c r="A9" s="158" t="s">
        <v>102</v>
      </c>
      <c r="B9" s="158"/>
      <c r="C9" s="158"/>
      <c r="D9" s="158"/>
      <c r="E9" s="158"/>
      <c r="F9" s="158"/>
      <c r="G9" s="158"/>
      <c r="H9" s="158"/>
      <c r="I9" s="158"/>
      <c r="J9" s="158"/>
      <c r="K9" s="158"/>
      <c r="L9" s="158"/>
      <c r="M9" s="78" t="s">
        <v>83</v>
      </c>
      <c r="N9" s="105">
        <f>SUMIFS(Table_Query_from_MS_Access_Database[[#All],[HSIP]],Table_Query_from_MS_Access_Database[[#All],[Transaction Year]],"2017",Table_Query_from_MS_Access_Database[[#All],[Transaction Type]],"repayment out")</f>
        <v>-137000</v>
      </c>
      <c r="O9" s="106">
        <f>SUMIFS(Table_Query_from_MS_Access_Database[[#All],[PL]],Table_Query_from_MS_Access_Database[[#All],[Transaction Type]],"2017",Table_Query_from_MS_Access_Database[[#All],[Number]],"repayment out")</f>
        <v>0</v>
      </c>
      <c r="P9" s="106">
        <f>SUMIFS(Table_Query_from_MS_Access_Database[[#All],[SPR]],Table_Query_from_MS_Access_Database[[#All],[Number]],"2017",Table_Query_from_MS_Access_Database[[#All],[From]],"repayment out")</f>
        <v>0</v>
      </c>
      <c r="Q9" s="107">
        <f>SUMIFS(Table_Query_from_MS_Access_Database[[#All],[STP other]],Table_Query_from_MS_Access_Database[[#All],[Transaction Year]],"2017",Table_Query_from_MS_Access_Database[[#All],[Transaction Type]],"repayment out")</f>
        <v>0</v>
      </c>
      <c r="R9" s="104">
        <f t="shared" si="0"/>
        <v>-137000</v>
      </c>
      <c r="S9" s="108">
        <f>SUMIFS(Table_Query_from_MS_Access_Database_16[[#All],[Total]],Table_Query_from_MS_Access_Database_16[[#All],[Transaction Year]],"2017",Table_Query_from_MS_Access_Database_16[[#All],[Transaction Type]],"Repayment Out")</f>
        <v>-137000</v>
      </c>
      <c r="T9" s="36"/>
    </row>
    <row r="10" spans="1:20" x14ac:dyDescent="0.3">
      <c r="J10" s="33"/>
      <c r="K10" s="33"/>
      <c r="L10" s="33"/>
      <c r="M10" s="78" t="s">
        <v>84</v>
      </c>
      <c r="N10" s="105">
        <f>SUMIFS(Table_Query_from_MS_Access_Database[[#All],[HSIP]],Table_Query_from_MS_Access_Database[[#All],[Transaction Year]],"2017",Table_Query_from_MS_Access_Database[[#All],[Transaction Type]],"transfer in")</f>
        <v>0</v>
      </c>
      <c r="O10" s="107">
        <f>SUMIFS(Table_Query_from_MS_Access_Database[[#All],[PL]],Table_Query_from_MS_Access_Database[[#All],[Transaction Year]],"2017",Table_Query_from_MS_Access_Database[[#All],[Transaction Type]],"transfer in")</f>
        <v>0</v>
      </c>
      <c r="P10" s="106">
        <f>SUMIFS(Table_Query_from_MS_Access_Database[[#All],[SPR]],Table_Query_from_MS_Access_Database[[#All],[Number]],"2017",Table_Query_from_MS_Access_Database[[#All],[From]],"transfer in")</f>
        <v>0</v>
      </c>
      <c r="Q10" s="107">
        <f>SUMIFS(Table_Query_from_MS_Access_Database[[#All],[STP other]],Table_Query_from_MS_Access_Database[[#All],[Transaction Year]],"2017",Table_Query_from_MS_Access_Database[[#All],[Transaction Type]],"transfer in")</f>
        <v>0</v>
      </c>
      <c r="R10" s="104">
        <f t="shared" si="0"/>
        <v>0</v>
      </c>
      <c r="S10" s="108">
        <f>SUMIFS(Table_Query_from_MS_Access_Database_16[[#All],[Total]],Table_Query_from_MS_Access_Database_16[[#All],[Transaction Year]],"2017",Table_Query_from_MS_Access_Database_16[[#All],[Transaction Type]],"Transfer In")</f>
        <v>0</v>
      </c>
      <c r="T10" s="32"/>
    </row>
    <row r="11" spans="1:20" x14ac:dyDescent="0.3">
      <c r="F11" s="43"/>
      <c r="G11" s="43"/>
      <c r="J11" s="33"/>
      <c r="K11" s="33"/>
      <c r="L11" s="33"/>
      <c r="M11" s="78" t="s">
        <v>85</v>
      </c>
      <c r="N11" s="105">
        <f>SUMIFS(Table_Query_from_MS_Access_Database[[#All],[HSIP]],Table_Query_from_MS_Access_Database[[#All],[Transaction Year]],"2017",Table_Query_from_MS_Access_Database[[#All],[Transaction Type]],"transfer out")</f>
        <v>-275000</v>
      </c>
      <c r="O11" s="106">
        <f>SUMIFS(Table_Query_from_MS_Access_Database[[#All],[PL]],Table_Query_from_MS_Access_Database[[#All],[Transaction Type]],"2017",Table_Query_from_MS_Access_Database[[#All],[Number]],"transfer out")</f>
        <v>0</v>
      </c>
      <c r="P11" s="106">
        <f>SUMIFS(Table_Query_from_MS_Access_Database[[#All],[SPR]],Table_Query_from_MS_Access_Database[[#All],[Number]],"2017",Table_Query_from_MS_Access_Database[[#All],[From]],"transfer out")</f>
        <v>0</v>
      </c>
      <c r="Q11" s="107">
        <f>SUMIFS(Table_Query_from_MS_Access_Database[[#All],[STP other]],Table_Query_from_MS_Access_Database[[#All],[Transaction Year]],"2017",Table_Query_from_MS_Access_Database[[#All],[Transaction Type]],"Transfer Out")</f>
        <v>-50000</v>
      </c>
      <c r="R11" s="104">
        <f t="shared" si="0"/>
        <v>-325000</v>
      </c>
      <c r="S11" s="108">
        <f>SUMIFS(Table_Query_from_MS_Access_Database_16[[#All],[Total]],Table_Query_from_MS_Access_Database_16[[#All],[Transaction Year]],"2017",Table_Query_from_MS_Access_Database_16[[#All],[Transaction Type]],"Transfer Out")</f>
        <v>-325000</v>
      </c>
      <c r="T11" s="41"/>
    </row>
    <row r="12" spans="1:20" ht="26.4" x14ac:dyDescent="0.3">
      <c r="J12" s="33"/>
      <c r="K12" s="33"/>
      <c r="L12" s="33"/>
      <c r="M12" s="79" t="s">
        <v>103</v>
      </c>
      <c r="N12" s="109">
        <f>SUM(N4:N11)</f>
        <v>425978.94999999995</v>
      </c>
      <c r="O12" s="110">
        <f>SUM(O4:O11)</f>
        <v>118231.12</v>
      </c>
      <c r="P12" s="110">
        <f>SUM(P4:P11)</f>
        <v>100000</v>
      </c>
      <c r="Q12" s="111">
        <f>SUM(Q4:Q11)</f>
        <v>781245.13</v>
      </c>
      <c r="R12" s="112">
        <f t="shared" si="0"/>
        <v>1425455.2</v>
      </c>
      <c r="S12" s="113">
        <f>SUM(S4:S11)</f>
        <v>1351655.2000000002</v>
      </c>
      <c r="T12" s="41"/>
    </row>
    <row r="13" spans="1:20" x14ac:dyDescent="0.3">
      <c r="J13" s="33"/>
      <c r="K13" s="33"/>
      <c r="L13" s="33"/>
      <c r="M13" s="33"/>
      <c r="N13" s="44"/>
      <c r="O13" s="45"/>
      <c r="P13" s="45"/>
      <c r="Q13" s="45"/>
      <c r="R13" s="45"/>
      <c r="S13" s="45"/>
      <c r="T13" s="41"/>
    </row>
    <row r="14" spans="1:20" ht="15.75" customHeight="1" x14ac:dyDescent="0.3">
      <c r="A14" s="157" t="s">
        <v>71</v>
      </c>
      <c r="B14" s="157"/>
      <c r="C14" s="157"/>
      <c r="D14" s="157"/>
      <c r="J14" s="161" t="s">
        <v>73</v>
      </c>
      <c r="K14" s="162"/>
      <c r="L14" s="162"/>
      <c r="M14" s="163"/>
      <c r="N14" s="46"/>
      <c r="R14" s="47"/>
      <c r="S14" s="47"/>
      <c r="T14" s="47"/>
    </row>
    <row r="15" spans="1:20" s="50" customFormat="1" ht="26.4" x14ac:dyDescent="0.3">
      <c r="A15" s="85" t="s">
        <v>1</v>
      </c>
      <c r="B15" s="85" t="s">
        <v>0</v>
      </c>
      <c r="C15" s="85" t="s">
        <v>3</v>
      </c>
      <c r="D15" s="85" t="s">
        <v>95</v>
      </c>
      <c r="E15" s="85" t="s">
        <v>2</v>
      </c>
      <c r="F15" s="85" t="s">
        <v>53</v>
      </c>
      <c r="G15" s="85" t="s">
        <v>54</v>
      </c>
      <c r="H15" s="85" t="s">
        <v>55</v>
      </c>
      <c r="I15" s="85" t="s">
        <v>61</v>
      </c>
      <c r="J15" s="85" t="s">
        <v>56</v>
      </c>
      <c r="K15" s="85" t="s">
        <v>57</v>
      </c>
      <c r="L15" s="85" t="s">
        <v>58</v>
      </c>
      <c r="M15" s="85" t="s">
        <v>59</v>
      </c>
      <c r="N15" s="86" t="s">
        <v>4</v>
      </c>
      <c r="O15" s="86" t="s">
        <v>45</v>
      </c>
      <c r="P15" s="86" t="s">
        <v>5</v>
      </c>
      <c r="Q15" s="86" t="s">
        <v>60</v>
      </c>
      <c r="R15" s="88" t="s">
        <v>100</v>
      </c>
      <c r="S15" s="87" t="s">
        <v>111</v>
      </c>
      <c r="T15" s="70"/>
    </row>
    <row r="16" spans="1:20" s="53" customFormat="1" ht="13.2" x14ac:dyDescent="0.3">
      <c r="A16" s="53" t="s">
        <v>182</v>
      </c>
      <c r="C16" s="53" t="s">
        <v>110</v>
      </c>
      <c r="D16" s="53" t="s">
        <v>7</v>
      </c>
      <c r="E16" s="69" t="s">
        <v>183</v>
      </c>
      <c r="F16" s="69" t="s">
        <v>144</v>
      </c>
      <c r="G16" s="69" t="s">
        <v>184</v>
      </c>
      <c r="H16" s="69" t="s">
        <v>169</v>
      </c>
      <c r="I16" s="89" t="str">
        <f>CONCATENATE(Table_Query_from_MS_Access_Database8[[#This Row],[RTE]],Table_Query_from_MS_Access_Database8[[#This Row],[SEC]],Table_Query_from_MS_Access_Database8[[#This Row],[SEQ]])</f>
        <v>CYMP017</v>
      </c>
      <c r="J16" s="83">
        <v>42644</v>
      </c>
      <c r="K16" s="83">
        <v>42650</v>
      </c>
      <c r="L16" s="83">
        <v>42661</v>
      </c>
      <c r="M16" s="83">
        <v>42663</v>
      </c>
      <c r="N16" s="115"/>
      <c r="O16" s="80">
        <v>93141</v>
      </c>
      <c r="P16" s="80"/>
      <c r="Q16" s="80"/>
      <c r="R16" s="80">
        <f>+Table_Query_from_MS_Access_Database8[[#This Row],[HSIP]]+Table_Query_from_MS_Access_Database8[[#This Row],[PL]]+Table_Query_from_MS_Access_Database8[[#This Row],[SPR]]+Table_Query_from_MS_Access_Database8[[#This Row],[STP OTHER]]</f>
        <v>93141</v>
      </c>
      <c r="S16" s="80">
        <f>S12-Table_Query_from_MS_Access_Database8[TOTAL OF AMOUNT]</f>
        <v>1258514.2000000002</v>
      </c>
      <c r="T16" s="70"/>
    </row>
    <row r="17" spans="1:20" s="53" customFormat="1" ht="13.2" x14ac:dyDescent="0.3">
      <c r="A17" s="129" t="s">
        <v>166</v>
      </c>
      <c r="B17" s="129"/>
      <c r="C17" s="129" t="s">
        <v>110</v>
      </c>
      <c r="D17" s="129" t="s">
        <v>8</v>
      </c>
      <c r="E17" s="130" t="s">
        <v>167</v>
      </c>
      <c r="F17" s="130" t="s">
        <v>144</v>
      </c>
      <c r="G17" s="130" t="s">
        <v>168</v>
      </c>
      <c r="H17" s="130" t="s">
        <v>169</v>
      </c>
      <c r="I17" s="131" t="str">
        <f>CONCATENATE(Table_Query_from_MS_Access_Database8[[#This Row],[RTE]],Table_Query_from_MS_Access_Database8[[#This Row],[SEC]],Table_Query_from_MS_Access_Database8[[#This Row],[SEQ]])</f>
        <v>CYMS017</v>
      </c>
      <c r="J17" s="132">
        <v>42644</v>
      </c>
      <c r="K17" s="132">
        <v>42650</v>
      </c>
      <c r="L17" s="132">
        <v>42661</v>
      </c>
      <c r="M17" s="132">
        <v>42664</v>
      </c>
      <c r="N17" s="133"/>
      <c r="O17" s="134"/>
      <c r="P17" s="134">
        <v>68750</v>
      </c>
      <c r="Q17" s="134"/>
      <c r="R17" s="134">
        <f>+Table_Query_from_MS_Access_Database8[[#This Row],[HSIP]]+Table_Query_from_MS_Access_Database8[[#This Row],[PL]]+Table_Query_from_MS_Access_Database8[[#This Row],[SPR]]+Table_Query_from_MS_Access_Database8[[#This Row],[STP OTHER]]</f>
        <v>68750</v>
      </c>
      <c r="S17" s="134">
        <f>S16-Table_Query_from_MS_Access_Database8[TOTAL OF AMOUNT]</f>
        <v>1189764.2000000002</v>
      </c>
      <c r="T17" s="70"/>
    </row>
    <row r="18" spans="1:20" s="53" customFormat="1" ht="13.2" x14ac:dyDescent="0.3">
      <c r="A18" s="137" t="s">
        <v>191</v>
      </c>
      <c r="B18" s="137" t="s">
        <v>192</v>
      </c>
      <c r="C18" s="137" t="s">
        <v>110</v>
      </c>
      <c r="D18" s="137" t="s">
        <v>7</v>
      </c>
      <c r="E18" s="138" t="s">
        <v>193</v>
      </c>
      <c r="F18" s="138" t="s">
        <v>144</v>
      </c>
      <c r="G18" s="138" t="s">
        <v>194</v>
      </c>
      <c r="H18" s="138" t="s">
        <v>169</v>
      </c>
      <c r="I18" s="139" t="str">
        <f>CONCATENATE(Table_Query_from_MS_Access_Database8[[#This Row],[RTE]],Table_Query_from_MS_Access_Database8[[#This Row],[SEC]],Table_Query_from_MS_Access_Database8[[#This Row],[SEQ]])</f>
        <v>CYMT017</v>
      </c>
      <c r="J18" s="140"/>
      <c r="K18" s="140">
        <v>42747</v>
      </c>
      <c r="L18" s="140">
        <v>42787</v>
      </c>
      <c r="M18" s="140">
        <v>42790</v>
      </c>
      <c r="N18" s="141"/>
      <c r="O18" s="136"/>
      <c r="P18" s="136"/>
      <c r="Q18" s="136">
        <v>70000</v>
      </c>
      <c r="R18" s="136">
        <f>+Table_Query_from_MS_Access_Database8[[#This Row],[HSIP]]+Table_Query_from_MS_Access_Database8[[#This Row],[PL]]+Table_Query_from_MS_Access_Database8[[#This Row],[SPR]]+Table_Query_from_MS_Access_Database8[[#This Row],[STP OTHER]]</f>
        <v>70000</v>
      </c>
      <c r="S18" s="134">
        <f>S17-Table_Query_from_MS_Access_Database8[TOTAL OF AMOUNT]</f>
        <v>1119764.2000000002</v>
      </c>
      <c r="T18" s="70"/>
    </row>
    <row r="19" spans="1:20" s="53" customFormat="1" ht="26.4" x14ac:dyDescent="0.3">
      <c r="A19" s="142" t="s">
        <v>198</v>
      </c>
      <c r="B19" s="142" t="s">
        <v>199</v>
      </c>
      <c r="C19" s="142" t="s">
        <v>110</v>
      </c>
      <c r="D19" s="142" t="s">
        <v>9</v>
      </c>
      <c r="E19" s="143" t="s">
        <v>200</v>
      </c>
      <c r="F19" s="143" t="s">
        <v>144</v>
      </c>
      <c r="G19" s="143" t="s">
        <v>145</v>
      </c>
      <c r="H19" s="143" t="s">
        <v>201</v>
      </c>
      <c r="I19" s="144" t="str">
        <f>CONCATENATE(Table_Query_from_MS_Access_Database8[[#This Row],[RTE]],Table_Query_from_MS_Access_Database8[[#This Row],[SEC]],Table_Query_from_MS_Access_Database8[[#This Row],[SEQ]])</f>
        <v>CYM0201</v>
      </c>
      <c r="J19" s="145"/>
      <c r="K19" s="145">
        <v>42832</v>
      </c>
      <c r="L19" s="145">
        <v>42832</v>
      </c>
      <c r="M19" s="145">
        <v>42835</v>
      </c>
      <c r="N19" s="146">
        <v>-78065.259999999995</v>
      </c>
      <c r="O19" s="147"/>
      <c r="P19" s="147"/>
      <c r="Q19" s="147"/>
      <c r="R19" s="147">
        <f>+Table_Query_from_MS_Access_Database8[[#This Row],[HSIP]]+Table_Query_from_MS_Access_Database8[[#This Row],[PL]]+Table_Query_from_MS_Access_Database8[[#This Row],[SPR]]+Table_Query_from_MS_Access_Database8[[#This Row],[STP OTHER]]</f>
        <v>-78065.259999999995</v>
      </c>
      <c r="S19" s="134">
        <f>S18-Table_Query_from_MS_Access_Database8[TOTAL OF AMOUNT]</f>
        <v>1197829.4600000002</v>
      </c>
      <c r="T19" s="70"/>
    </row>
    <row r="20" spans="1:20" s="53" customFormat="1" ht="26.4" x14ac:dyDescent="0.3">
      <c r="A20" s="142" t="s">
        <v>202</v>
      </c>
      <c r="B20" s="142" t="s">
        <v>199</v>
      </c>
      <c r="C20" s="142" t="s">
        <v>110</v>
      </c>
      <c r="D20" s="142" t="s">
        <v>9</v>
      </c>
      <c r="E20" s="143" t="s">
        <v>200</v>
      </c>
      <c r="F20" s="143" t="s">
        <v>144</v>
      </c>
      <c r="G20" s="143" t="s">
        <v>145</v>
      </c>
      <c r="H20" s="143" t="s">
        <v>201</v>
      </c>
      <c r="I20" s="144" t="str">
        <f>CONCATENATE(Table_Query_from_MS_Access_Database8[[#This Row],[RTE]],Table_Query_from_MS_Access_Database8[[#This Row],[SEC]],Table_Query_from_MS_Access_Database8[[#This Row],[SEQ]])</f>
        <v>CYM0201</v>
      </c>
      <c r="J20" s="145"/>
      <c r="K20" s="145">
        <v>42832</v>
      </c>
      <c r="L20" s="145">
        <v>42832</v>
      </c>
      <c r="M20" s="145">
        <v>42835</v>
      </c>
      <c r="N20" s="146">
        <v>-88815.79</v>
      </c>
      <c r="O20" s="147"/>
      <c r="P20" s="147"/>
      <c r="Q20" s="147"/>
      <c r="R20" s="147">
        <f>+Table_Query_from_MS_Access_Database8[[#This Row],[HSIP]]+Table_Query_from_MS_Access_Database8[[#This Row],[PL]]+Table_Query_from_MS_Access_Database8[[#This Row],[SPR]]+Table_Query_from_MS_Access_Database8[[#This Row],[STP OTHER]]</f>
        <v>-88815.79</v>
      </c>
      <c r="S20" s="134">
        <f>S19-Table_Query_from_MS_Access_Database8[TOTAL OF AMOUNT]</f>
        <v>1286645.2500000002</v>
      </c>
    </row>
    <row r="21" spans="1:20" s="55" customFormat="1" ht="15" x14ac:dyDescent="0.3">
      <c r="A21" s="142" t="s">
        <v>149</v>
      </c>
      <c r="B21" s="142" t="s">
        <v>143</v>
      </c>
      <c r="C21" s="142" t="s">
        <v>110</v>
      </c>
      <c r="D21" s="142" t="s">
        <v>7</v>
      </c>
      <c r="E21" s="143" t="s">
        <v>150</v>
      </c>
      <c r="F21" s="143" t="s">
        <v>144</v>
      </c>
      <c r="G21" s="143" t="s">
        <v>145</v>
      </c>
      <c r="H21" s="143" t="s">
        <v>151</v>
      </c>
      <c r="I21" s="144" t="str">
        <f>CONCATENATE(Table_Query_from_MS_Access_Database8[[#This Row],[RTE]],Table_Query_from_MS_Access_Database8[[#This Row],[SEC]],Table_Query_from_MS_Access_Database8[[#This Row],[SEQ]])</f>
        <v>CYM0202</v>
      </c>
      <c r="J21" s="145">
        <v>42797</v>
      </c>
      <c r="K21" s="145">
        <v>42809</v>
      </c>
      <c r="L21" s="145">
        <v>42828</v>
      </c>
      <c r="M21" s="145">
        <v>42849</v>
      </c>
      <c r="N21" s="146">
        <v>592860</v>
      </c>
      <c r="O21" s="147"/>
      <c r="P21" s="147"/>
      <c r="Q21" s="147"/>
      <c r="R21" s="147">
        <f>+Table_Query_from_MS_Access_Database8[[#This Row],[HSIP]]+Table_Query_from_MS_Access_Database8[[#This Row],[PL]]+Table_Query_from_MS_Access_Database8[[#This Row],[SPR]]+Table_Query_from_MS_Access_Database8[[#This Row],[STP OTHER]]</f>
        <v>592860</v>
      </c>
      <c r="S21" s="134">
        <f>S20-Table_Query_from_MS_Access_Database8[TOTAL OF AMOUNT]</f>
        <v>693785.25000000023</v>
      </c>
      <c r="T21" s="47"/>
    </row>
    <row r="22" spans="1:20" s="55" customFormat="1" ht="15" x14ac:dyDescent="0.3">
      <c r="A22" s="148" t="s">
        <v>158</v>
      </c>
      <c r="B22" s="148" t="s">
        <v>185</v>
      </c>
      <c r="C22" s="148" t="s">
        <v>118</v>
      </c>
      <c r="D22" s="148" t="s">
        <v>7</v>
      </c>
      <c r="E22" s="149" t="s">
        <v>159</v>
      </c>
      <c r="F22" s="149" t="s">
        <v>160</v>
      </c>
      <c r="G22" s="149" t="s">
        <v>161</v>
      </c>
      <c r="H22" s="149" t="s">
        <v>162</v>
      </c>
      <c r="I22" s="150" t="str">
        <f>CONCATENATE(Table_Query_from_MS_Access_Database8[[#This Row],[RTE]],Table_Query_from_MS_Access_Database8[[#This Row],[SEC]],Table_Query_from_MS_Access_Database8[[#This Row],[SEQ]])</f>
        <v>089B212</v>
      </c>
      <c r="J22" s="151">
        <v>42844</v>
      </c>
      <c r="K22" s="151">
        <v>42894</v>
      </c>
      <c r="L22" s="151">
        <v>42895</v>
      </c>
      <c r="M22" s="151">
        <v>42899</v>
      </c>
      <c r="N22" s="152"/>
      <c r="O22" s="153"/>
      <c r="P22" s="153"/>
      <c r="Q22" s="153">
        <v>633000</v>
      </c>
      <c r="R22" s="153">
        <f>+Table_Query_from_MS_Access_Database8[[#This Row],[HSIP]]+Table_Query_from_MS_Access_Database8[[#This Row],[PL]]+Table_Query_from_MS_Access_Database8[[#This Row],[SPR]]+Table_Query_from_MS_Access_Database8[[#This Row],[STP OTHER]]</f>
        <v>633000</v>
      </c>
      <c r="S22" s="134">
        <f>S21-Table_Query_from_MS_Access_Database8[TOTAL OF AMOUNT]</f>
        <v>60785.250000000233</v>
      </c>
      <c r="T22" s="47"/>
    </row>
    <row r="23" spans="1:20" s="55" customFormat="1" ht="15" x14ac:dyDescent="0.3">
      <c r="A23" s="148" t="s">
        <v>204</v>
      </c>
      <c r="B23" s="148"/>
      <c r="C23" s="148" t="s">
        <v>110</v>
      </c>
      <c r="D23" s="148" t="s">
        <v>7</v>
      </c>
      <c r="E23" s="149" t="s">
        <v>205</v>
      </c>
      <c r="F23" s="149" t="s">
        <v>144</v>
      </c>
      <c r="G23" s="149" t="s">
        <v>184</v>
      </c>
      <c r="H23" s="149" t="s">
        <v>176</v>
      </c>
      <c r="I23" s="150" t="str">
        <f>CONCATENATE(Table_Query_from_MS_Access_Database8[[#This Row],[RTE]],Table_Query_from_MS_Access_Database8[[#This Row],[SEC]],Table_Query_from_MS_Access_Database8[[#This Row],[SEQ]])</f>
        <v>CYMP018</v>
      </c>
      <c r="J23" s="151">
        <v>42901</v>
      </c>
      <c r="K23" s="151">
        <v>42905</v>
      </c>
      <c r="L23" s="151">
        <v>42905</v>
      </c>
      <c r="M23" s="151">
        <v>42907</v>
      </c>
      <c r="N23" s="152"/>
      <c r="O23" s="153">
        <v>29535.25</v>
      </c>
      <c r="P23" s="153"/>
      <c r="Q23" s="153"/>
      <c r="R23" s="153">
        <f>+Table_Query_from_MS_Access_Database8[[#This Row],[HSIP]]+Table_Query_from_MS_Access_Database8[[#This Row],[PL]]+Table_Query_from_MS_Access_Database8[[#This Row],[SPR]]+Table_Query_from_MS_Access_Database8[[#This Row],[STP OTHER]]</f>
        <v>29535.25</v>
      </c>
      <c r="S23" s="134">
        <f>S22-Table_Query_from_MS_Access_Database8[TOTAL OF AMOUNT]</f>
        <v>31250.000000000233</v>
      </c>
      <c r="T23" s="47"/>
    </row>
    <row r="24" spans="1:20" s="55" customFormat="1" ht="15" x14ac:dyDescent="0.3">
      <c r="A24" s="148" t="s">
        <v>174</v>
      </c>
      <c r="B24" s="148"/>
      <c r="C24" s="148" t="s">
        <v>110</v>
      </c>
      <c r="D24" s="148" t="s">
        <v>7</v>
      </c>
      <c r="E24" s="149" t="s">
        <v>175</v>
      </c>
      <c r="F24" s="149" t="s">
        <v>144</v>
      </c>
      <c r="G24" s="149" t="s">
        <v>168</v>
      </c>
      <c r="H24" s="149" t="s">
        <v>176</v>
      </c>
      <c r="I24" s="150" t="str">
        <f>CONCATENATE(Table_Query_from_MS_Access_Database8[[#This Row],[RTE]],Table_Query_from_MS_Access_Database8[[#This Row],[SEC]],Table_Query_from_MS_Access_Database8[[#This Row],[SEQ]])</f>
        <v>CYMS018</v>
      </c>
      <c r="J24" s="151">
        <v>42901</v>
      </c>
      <c r="K24" s="151">
        <v>42905</v>
      </c>
      <c r="L24" s="151">
        <v>42905</v>
      </c>
      <c r="M24" s="151">
        <v>42907</v>
      </c>
      <c r="N24" s="152"/>
      <c r="O24" s="153"/>
      <c r="P24" s="153">
        <v>31250</v>
      </c>
      <c r="Q24" s="153"/>
      <c r="R24" s="153">
        <f>+Table_Query_from_MS_Access_Database8[[#This Row],[HSIP]]+Table_Query_from_MS_Access_Database8[[#This Row],[PL]]+Table_Query_from_MS_Access_Database8[[#This Row],[SPR]]+Table_Query_from_MS_Access_Database8[[#This Row],[STP OTHER]]</f>
        <v>31250</v>
      </c>
      <c r="S24" s="134">
        <f>S23-Table_Query_from_MS_Access_Database8[TOTAL OF AMOUNT]</f>
        <v>2.3283064365386963E-10</v>
      </c>
      <c r="T24" s="47"/>
    </row>
    <row r="25" spans="1:20" s="54" customFormat="1" x14ac:dyDescent="0.3">
      <c r="A25" s="50"/>
      <c r="B25" s="50"/>
      <c r="C25" s="50"/>
      <c r="D25" s="50"/>
      <c r="E25" s="48"/>
      <c r="F25" s="48"/>
      <c r="G25" s="48"/>
      <c r="H25" s="48"/>
      <c r="I25" s="48"/>
      <c r="J25" s="48"/>
      <c r="K25" s="48"/>
      <c r="L25" s="48"/>
      <c r="M25" s="71" t="s">
        <v>87</v>
      </c>
      <c r="N25" s="93">
        <f>SUM(Table_Query_from_MS_Access_Database8[[#All],[HSIP]])</f>
        <v>425978.95</v>
      </c>
      <c r="O25" s="93">
        <f>SUM(Table_Query_from_MS_Access_Database8[[#All],[PL]])</f>
        <v>122676.25</v>
      </c>
      <c r="P25" s="93">
        <f>SUM(Table_Query_from_MS_Access_Database8[[#All],[SPR]])</f>
        <v>100000</v>
      </c>
      <c r="Q25" s="93">
        <f>SUM(Table_Query_from_MS_Access_Database8[[#All],[STP OTHER]])</f>
        <v>703000</v>
      </c>
      <c r="R25" s="93">
        <f>SUM(Table_Query_from_MS_Access_Database8[[#All],[TOTAL OF AMOUNT]])</f>
        <v>1351655.2</v>
      </c>
      <c r="S25" s="116"/>
      <c r="T25" s="47"/>
    </row>
    <row r="26" spans="1:20" s="50" customFormat="1" x14ac:dyDescent="0.3">
      <c r="A26" s="55"/>
      <c r="B26" s="55"/>
      <c r="C26" s="55"/>
      <c r="D26" s="55"/>
      <c r="E26" s="49"/>
      <c r="F26" s="49"/>
      <c r="G26" s="49"/>
      <c r="H26" s="49"/>
      <c r="I26" s="49"/>
      <c r="J26" s="49"/>
      <c r="K26" s="49"/>
      <c r="L26" s="49"/>
      <c r="M26" s="71" t="s">
        <v>86</v>
      </c>
      <c r="N26" s="94">
        <f>+N12-N25</f>
        <v>0</v>
      </c>
      <c r="O26" s="94">
        <f>+O12-O25</f>
        <v>-4445.1300000000047</v>
      </c>
      <c r="P26" s="94">
        <f>+P12-P25</f>
        <v>0</v>
      </c>
      <c r="Q26" s="94">
        <f>+Q12-Q25</f>
        <v>78245.13</v>
      </c>
      <c r="R26" s="94">
        <f>+R12-R25</f>
        <v>73800</v>
      </c>
      <c r="S26" s="114"/>
      <c r="T26" s="72"/>
    </row>
    <row r="27" spans="1:20" s="50" customFormat="1" x14ac:dyDescent="0.3">
      <c r="A27" s="55"/>
      <c r="B27" s="55"/>
      <c r="C27" s="55"/>
      <c r="D27" s="55"/>
      <c r="E27" s="49"/>
      <c r="F27" s="49"/>
      <c r="G27" s="49"/>
      <c r="H27" s="49"/>
      <c r="I27" s="49"/>
      <c r="J27" s="49"/>
      <c r="K27" s="49"/>
      <c r="L27" s="49"/>
      <c r="M27" s="55"/>
      <c r="N27" s="55"/>
      <c r="O27" s="55"/>
      <c r="P27" s="55"/>
      <c r="Q27" s="55"/>
      <c r="R27" s="55"/>
      <c r="S27" s="47"/>
      <c r="T27" s="58"/>
    </row>
    <row r="28" spans="1:20" s="50" customFormat="1" ht="16.8" x14ac:dyDescent="0.35">
      <c r="A28" s="157" t="s">
        <v>36</v>
      </c>
      <c r="B28" s="157"/>
      <c r="C28" s="157"/>
      <c r="D28" s="157"/>
      <c r="E28" s="54"/>
      <c r="F28" s="54"/>
      <c r="G28" s="55"/>
      <c r="H28" s="55"/>
      <c r="I28" s="55"/>
      <c r="J28" s="57"/>
      <c r="K28" s="56"/>
      <c r="L28" s="56"/>
      <c r="M28" s="56"/>
      <c r="N28" s="56"/>
      <c r="O28" s="47"/>
      <c r="P28" s="47"/>
      <c r="Q28" s="49"/>
      <c r="R28" s="49"/>
      <c r="S28" s="47"/>
      <c r="T28" s="54"/>
    </row>
    <row r="29" spans="1:20" s="50" customFormat="1" ht="39.6" x14ac:dyDescent="0.3">
      <c r="A29" s="72" t="s">
        <v>1</v>
      </c>
      <c r="B29" s="72" t="s">
        <v>0</v>
      </c>
      <c r="C29" s="72" t="s">
        <v>3</v>
      </c>
      <c r="D29" s="72" t="s">
        <v>95</v>
      </c>
      <c r="E29" s="72" t="s">
        <v>2</v>
      </c>
      <c r="F29" s="72" t="s">
        <v>53</v>
      </c>
      <c r="G29" s="72" t="s">
        <v>54</v>
      </c>
      <c r="H29" s="72" t="s">
        <v>55</v>
      </c>
      <c r="I29" s="72" t="s">
        <v>61</v>
      </c>
      <c r="J29" s="72" t="s">
        <v>56</v>
      </c>
      <c r="K29" s="72" t="s">
        <v>57</v>
      </c>
      <c r="L29" s="72" t="s">
        <v>58</v>
      </c>
      <c r="M29" s="72" t="s">
        <v>59</v>
      </c>
      <c r="N29" s="72" t="s">
        <v>4</v>
      </c>
      <c r="O29" s="72" t="s">
        <v>45</v>
      </c>
      <c r="P29" s="72" t="s">
        <v>5</v>
      </c>
      <c r="Q29" s="72" t="s">
        <v>60</v>
      </c>
      <c r="R29" s="72" t="s">
        <v>100</v>
      </c>
      <c r="S29" s="76" t="s">
        <v>62</v>
      </c>
      <c r="T29" s="54"/>
    </row>
    <row r="30" spans="1:20" s="53" customFormat="1" ht="13.2" x14ac:dyDescent="0.3">
      <c r="A30" s="120"/>
      <c r="B30" s="120"/>
      <c r="C30" s="120"/>
      <c r="D30" s="120"/>
      <c r="E30" s="120"/>
      <c r="F30" s="120"/>
      <c r="G30" s="120"/>
      <c r="H30" s="120"/>
      <c r="I30" s="121" t="str">
        <f>CONCATENATE(Table_Query_from_MS_Access_Database_1[[#This Row],[RTE]],Table_Query_from_MS_Access_Database_1[[#This Row],[SEC]],Table_Query_from_MS_Access_Database_1[[#This Row],[SEQ]])</f>
        <v/>
      </c>
      <c r="J30" s="122"/>
      <c r="K30" s="122"/>
      <c r="L30" s="122"/>
      <c r="M30" s="122"/>
      <c r="N30" s="123"/>
      <c r="O30" s="123"/>
      <c r="P30" s="123"/>
      <c r="Q30" s="124"/>
      <c r="R30" s="123">
        <v>0</v>
      </c>
      <c r="S30" s="123">
        <f>S24-Table_Query_from_MS_Access_Database_1[TOTAL OF AMOUNT]</f>
        <v>2.3283064365386963E-10</v>
      </c>
    </row>
    <row r="31" spans="1:20" s="53" customFormat="1" ht="13.2" x14ac:dyDescent="0.3">
      <c r="J31" s="58"/>
      <c r="K31" s="58"/>
      <c r="L31" s="58"/>
      <c r="M31" s="73" t="s">
        <v>101</v>
      </c>
      <c r="N31" s="118">
        <f>SUM(Table_Query_from_MS_Access_Database_1[[#All],[HSIP]])</f>
        <v>0</v>
      </c>
      <c r="O31" s="118">
        <f>SUM(Table_Query_from_MS_Access_Database_1[[#All],[PL]])</f>
        <v>0</v>
      </c>
      <c r="P31" s="118">
        <f>SUM(Table_Query_from_MS_Access_Database_1[[#All],[SPR]])</f>
        <v>0</v>
      </c>
      <c r="Q31" s="118">
        <f>SUM(Table_Query_from_MS_Access_Database_1[[#All],[STP OTHER]])</f>
        <v>0</v>
      </c>
      <c r="R31" s="118">
        <f>SUM(Table_Query_from_MS_Access_Database_1[[#All],[TOTAL OF AMOUNT]])</f>
        <v>0</v>
      </c>
      <c r="S31" s="119"/>
    </row>
    <row r="32" spans="1:20" s="53" customFormat="1" ht="15" customHeight="1" x14ac:dyDescent="0.3">
      <c r="J32" s="58"/>
      <c r="K32" s="58"/>
      <c r="L32" s="58"/>
      <c r="M32" s="74" t="s">
        <v>86</v>
      </c>
      <c r="N32" s="94">
        <f>+N26-N31</f>
        <v>0</v>
      </c>
      <c r="O32" s="94">
        <f>+O26-O31</f>
        <v>-4445.1300000000047</v>
      </c>
      <c r="P32" s="94">
        <f>+P26-P31</f>
        <v>0</v>
      </c>
      <c r="Q32" s="94">
        <f>+Q26-Q31</f>
        <v>78245.13</v>
      </c>
      <c r="R32" s="94">
        <f>+R26-R31</f>
        <v>73800</v>
      </c>
      <c r="S32" s="119"/>
    </row>
    <row r="33" spans="1:19" s="50" customFormat="1" ht="15" customHeight="1" x14ac:dyDescent="0.3">
      <c r="J33" s="52"/>
      <c r="K33" s="52"/>
      <c r="L33" s="52"/>
      <c r="M33" s="52"/>
      <c r="N33" s="52"/>
      <c r="O33" s="52"/>
      <c r="P33" s="52"/>
      <c r="Q33" s="52"/>
    </row>
    <row r="34" spans="1:19" s="50" customFormat="1" ht="15" customHeight="1" x14ac:dyDescent="0.3">
      <c r="J34" s="52"/>
      <c r="K34" s="52"/>
      <c r="L34" s="52"/>
      <c r="M34" s="52"/>
      <c r="N34" s="52"/>
      <c r="O34" s="52"/>
      <c r="P34" s="52"/>
      <c r="Q34" s="52"/>
    </row>
    <row r="35" spans="1:19" s="50" customFormat="1" x14ac:dyDescent="0.3">
      <c r="J35" s="52"/>
      <c r="K35" s="52"/>
      <c r="L35" s="52"/>
      <c r="M35" s="52"/>
      <c r="N35" s="52"/>
      <c r="O35" s="52"/>
      <c r="P35" s="52"/>
      <c r="Q35" s="52"/>
    </row>
    <row r="36" spans="1:19" s="50" customFormat="1" ht="16.8" x14ac:dyDescent="0.3">
      <c r="A36" s="59" t="s">
        <v>88</v>
      </c>
      <c r="J36" s="52"/>
      <c r="K36" s="52"/>
      <c r="L36" s="52"/>
      <c r="M36" s="52"/>
      <c r="N36" s="155" t="s">
        <v>67</v>
      </c>
      <c r="O36" s="155"/>
      <c r="P36" s="155"/>
      <c r="Q36" s="155"/>
      <c r="R36" s="54"/>
    </row>
    <row r="37" spans="1:19" x14ac:dyDescent="0.3">
      <c r="A37" s="50"/>
      <c r="B37" s="50"/>
      <c r="C37" s="50"/>
      <c r="D37" s="50"/>
      <c r="E37" s="50"/>
      <c r="F37" s="50"/>
      <c r="G37" s="50"/>
      <c r="H37" s="50"/>
      <c r="I37" s="50"/>
      <c r="J37" s="52"/>
      <c r="K37" s="52"/>
      <c r="L37" s="52"/>
      <c r="M37" s="75"/>
      <c r="N37" s="84" t="s">
        <v>4</v>
      </c>
      <c r="O37" s="84" t="s">
        <v>45</v>
      </c>
      <c r="P37" s="84" t="s">
        <v>5</v>
      </c>
      <c r="Q37" s="84" t="s">
        <v>68</v>
      </c>
      <c r="R37" s="84" t="s">
        <v>63</v>
      </c>
      <c r="S37" s="62" t="s">
        <v>69</v>
      </c>
    </row>
    <row r="38" spans="1:19" x14ac:dyDescent="0.3">
      <c r="A38" s="53"/>
      <c r="B38" s="53"/>
      <c r="C38" s="53"/>
      <c r="D38" s="53"/>
      <c r="E38" s="53"/>
      <c r="F38" s="53"/>
      <c r="G38" s="53"/>
      <c r="H38" s="53"/>
      <c r="I38" s="53"/>
      <c r="J38" s="58"/>
      <c r="K38" s="58"/>
      <c r="L38" s="58"/>
      <c r="M38" s="96" t="s">
        <v>207</v>
      </c>
      <c r="N38" s="93">
        <f>+N32</f>
        <v>0</v>
      </c>
      <c r="O38" s="93">
        <f>+O32</f>
        <v>-4445.1300000000047</v>
      </c>
      <c r="P38" s="93">
        <f>+P32</f>
        <v>0</v>
      </c>
      <c r="Q38" s="93">
        <f>+Q32</f>
        <v>78245.13</v>
      </c>
      <c r="R38" s="93">
        <f>SUM(N38:Q38)</f>
        <v>73800</v>
      </c>
      <c r="S38" s="93">
        <f>Table_Query_from_MS_Access_Database_1[EXPECTED DECLINING BALANCE OA]</f>
        <v>2.3283064365386963E-10</v>
      </c>
    </row>
    <row r="39" spans="1:19" x14ac:dyDescent="0.3">
      <c r="A39" s="53"/>
      <c r="B39" s="53"/>
      <c r="C39" s="53"/>
      <c r="D39" s="53"/>
      <c r="E39" s="53"/>
      <c r="F39" s="53"/>
      <c r="G39" s="53"/>
      <c r="H39" s="53"/>
      <c r="I39" s="53"/>
      <c r="J39" s="58"/>
      <c r="K39" s="58"/>
      <c r="L39" s="58"/>
      <c r="M39" s="96" t="s">
        <v>208</v>
      </c>
      <c r="N39" s="92">
        <f>SUMIFS(Table_Query_from_MS_Access_Database[[#All],[HSIP]],Table_Query_from_MS_Access_Database[[#All],[Transaction Year]],"2015",Table_Query_from_MS_Access_Database[[#All],[Transaction Type]],"Lapsing")</f>
        <v>0</v>
      </c>
      <c r="O39" s="92">
        <f>SUMIFS(Table_Query_from_MS_Access_Database[[#All],[PL]],Table_Query_from_MS_Access_Database[[#All],[Transaction Year]],"2015",Table_Query_from_MS_Access_Database[[#All],[Transaction Type]],"Lapsing")</f>
        <v>0</v>
      </c>
      <c r="P39" s="92">
        <f>SUMIFS(Table_Query_from_MS_Access_Database[[#All],[SPR]],Table_Query_from_MS_Access_Database[[#All],[Transaction Year]],"2015",Table_Query_from_MS_Access_Database[[#All],[Transaction Type]],"Lapsing")</f>
        <v>0</v>
      </c>
      <c r="Q39" s="92">
        <f>SUMIFS(Table_Query_from_MS_Access_Database[[#All],[STP other]],Table_Query_from_MS_Access_Database[[#All],[Transaction Year]],"2015",Table_Query_from_MS_Access_Database[[#All],[Transaction Type]],"Lapsing")</f>
        <v>0</v>
      </c>
      <c r="R39" s="92">
        <f>SUM(N39:Q39)</f>
        <v>0</v>
      </c>
      <c r="S39" s="92">
        <f>SUMIFS(Table_Query_from_MS_Access_Database_16[[#All],[Total]],Table_Query_from_MS_Access_Database_16[[#All],[Transaction Year]],"2015",Table_Query_from_MS_Access_Database_16[[#All],[Transaction Type]],"Lapsing")</f>
        <v>0</v>
      </c>
    </row>
    <row r="40" spans="1:19" x14ac:dyDescent="0.3">
      <c r="A40" s="53"/>
      <c r="B40" s="53"/>
      <c r="C40" s="53"/>
      <c r="D40" s="53"/>
      <c r="E40" s="53"/>
      <c r="F40" s="53"/>
      <c r="G40" s="53"/>
      <c r="H40" s="53"/>
      <c r="I40" s="53"/>
      <c r="J40" s="58"/>
      <c r="K40" s="58"/>
      <c r="L40" s="58"/>
      <c r="M40" s="96" t="s">
        <v>209</v>
      </c>
      <c r="N40" s="95">
        <f>N38-N41</f>
        <v>0</v>
      </c>
      <c r="O40" s="95">
        <f>O38-O41</f>
        <v>0</v>
      </c>
      <c r="P40" s="95">
        <f>P38-P41</f>
        <v>0</v>
      </c>
      <c r="Q40" s="95">
        <f>Q38-Q41</f>
        <v>78245.13</v>
      </c>
      <c r="R40" s="95">
        <f>SUM(N40:Q40)</f>
        <v>78245.13</v>
      </c>
      <c r="S40" s="95">
        <f>S38-S41</f>
        <v>2.3283064365386963E-10</v>
      </c>
    </row>
    <row r="41" spans="1:19" x14ac:dyDescent="0.3">
      <c r="A41" s="53"/>
      <c r="B41" s="53"/>
      <c r="C41" s="53"/>
      <c r="D41" s="53"/>
      <c r="E41" s="53"/>
      <c r="F41" s="53"/>
      <c r="G41" s="53"/>
      <c r="H41" s="53"/>
      <c r="I41" s="53"/>
      <c r="J41" s="58"/>
      <c r="K41" s="58"/>
      <c r="L41" s="58"/>
      <c r="M41" s="97" t="s">
        <v>206</v>
      </c>
      <c r="N41" s="92">
        <f>+N38-N32</f>
        <v>0</v>
      </c>
      <c r="O41" s="92">
        <v>-4445.13</v>
      </c>
      <c r="P41" s="92">
        <v>0</v>
      </c>
      <c r="Q41" s="92">
        <f>+Q38-Q32</f>
        <v>0</v>
      </c>
      <c r="R41" s="92">
        <v>0</v>
      </c>
      <c r="S41" s="92">
        <v>0</v>
      </c>
    </row>
    <row r="42" spans="1:19" x14ac:dyDescent="0.3">
      <c r="A42" s="50"/>
      <c r="B42" s="50"/>
      <c r="C42" s="50"/>
      <c r="D42" s="50"/>
      <c r="E42" s="50"/>
      <c r="F42" s="50"/>
      <c r="G42" s="50"/>
      <c r="H42" s="50"/>
      <c r="I42" s="50"/>
      <c r="J42" s="52"/>
      <c r="K42" s="52"/>
      <c r="L42" s="52"/>
      <c r="M42" s="52"/>
      <c r="N42" s="52"/>
      <c r="O42" s="52"/>
      <c r="P42" s="52"/>
      <c r="Q42" s="52"/>
      <c r="R42" s="50"/>
      <c r="S42" s="50"/>
    </row>
  </sheetData>
  <sheetProtection autoFilter="0"/>
  <mergeCells count="10">
    <mergeCell ref="N36:Q36"/>
    <mergeCell ref="A1:F1"/>
    <mergeCell ref="A14:D14"/>
    <mergeCell ref="A9:L9"/>
    <mergeCell ref="N1:S1"/>
    <mergeCell ref="A3:D3"/>
    <mergeCell ref="A4:D4"/>
    <mergeCell ref="J14:M14"/>
    <mergeCell ref="A28:D28"/>
    <mergeCell ref="N2:R2"/>
  </mergeCells>
  <pageMargins left="0.5" right="0.25" top="0.75" bottom="0.75" header="0.3" footer="0.3"/>
  <pageSetup paperSize="17" scale="77"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92"/>
  <sheetViews>
    <sheetView topLeftCell="A11" zoomScaleNormal="100" workbookViewId="0">
      <selection activeCell="A64" sqref="A64"/>
    </sheetView>
  </sheetViews>
  <sheetFormatPr defaultColWidth="19.6640625" defaultRowHeight="14.4" x14ac:dyDescent="0.3"/>
  <cols>
    <col min="1" max="1" width="18.5546875" style="24" customWidth="1"/>
    <col min="2" max="2" width="19" style="24" customWidth="1"/>
    <col min="3" max="3" width="19.33203125" style="24" customWidth="1"/>
    <col min="4" max="4" width="8.88671875" style="24" customWidth="1"/>
    <col min="5" max="5" width="8.33203125" style="24" customWidth="1"/>
    <col min="6" max="6" width="18.44140625" style="24" customWidth="1"/>
    <col min="7" max="7" width="18.88671875" style="24" customWidth="1"/>
    <col min="8" max="8" width="60.44140625" style="25" customWidth="1"/>
    <col min="9" max="9" width="11.77734375" style="24" customWidth="1"/>
    <col min="10" max="10" width="10" style="24" customWidth="1"/>
    <col min="11" max="11" width="13.44140625" style="24" customWidth="1"/>
    <col min="12" max="12" width="11.77734375" style="24" customWidth="1"/>
    <col min="13" max="14" width="10.77734375" style="24" customWidth="1"/>
    <col min="15" max="15" width="12.6640625" style="24" customWidth="1"/>
    <col min="16" max="16" width="16.5546875" style="24" customWidth="1"/>
    <col min="17" max="17" width="11.77734375" style="24" customWidth="1"/>
    <col min="18" max="18" width="15.6640625" style="24" customWidth="1"/>
    <col min="19" max="19" width="12.44140625" style="24" customWidth="1"/>
    <col min="20" max="16384" width="19.6640625" style="9"/>
  </cols>
  <sheetData>
    <row r="1" spans="1:19" ht="18" x14ac:dyDescent="0.3">
      <c r="A1" s="167" t="str">
        <f>+'Federal Funds Transactions'!A1:F1</f>
        <v>Central Yavapai Metropolitan Planning Organization</v>
      </c>
      <c r="B1" s="167"/>
      <c r="C1" s="167"/>
      <c r="D1" s="167"/>
      <c r="E1" s="167"/>
      <c r="F1" s="167"/>
    </row>
    <row r="2" spans="1:19" x14ac:dyDescent="0.35">
      <c r="A2" s="26"/>
      <c r="B2" s="26"/>
      <c r="C2" s="26"/>
      <c r="D2" s="26"/>
      <c r="E2" s="26"/>
      <c r="F2" s="26"/>
    </row>
    <row r="3" spans="1:19" x14ac:dyDescent="0.35">
      <c r="A3" s="168" t="s">
        <v>94</v>
      </c>
      <c r="B3" s="168"/>
      <c r="C3" s="168"/>
      <c r="D3" s="168"/>
      <c r="E3" s="168"/>
      <c r="F3" s="168"/>
    </row>
    <row r="4" spans="1:19" x14ac:dyDescent="0.35">
      <c r="A4" s="27"/>
      <c r="B4" s="27"/>
      <c r="C4" s="27"/>
      <c r="D4" s="27"/>
      <c r="E4" s="27"/>
      <c r="F4" s="27"/>
    </row>
    <row r="5" spans="1:19" x14ac:dyDescent="0.35">
      <c r="A5" s="24" t="s">
        <v>93</v>
      </c>
      <c r="B5" s="60">
        <f>+'Federal Funds Transactions'!C5</f>
        <v>43008</v>
      </c>
      <c r="C5" s="26"/>
      <c r="D5" s="26"/>
      <c r="E5" s="26"/>
      <c r="F5" s="26"/>
    </row>
    <row r="6" spans="1:19" x14ac:dyDescent="0.35">
      <c r="A6" s="26"/>
      <c r="B6" s="26"/>
      <c r="C6" s="26"/>
      <c r="D6" s="26"/>
      <c r="E6" s="26"/>
      <c r="F6" s="26"/>
    </row>
    <row r="7" spans="1:19" ht="15" customHeight="1" x14ac:dyDescent="0.35">
      <c r="A7" s="171" t="str">
        <f>+'Federal Funds Transactions'!A9:L9</f>
        <v>IMPORTANT! Please review the information in the Notes tab for further explanation of the data in this document.</v>
      </c>
      <c r="B7" s="171"/>
      <c r="C7" s="171"/>
      <c r="D7" s="171"/>
      <c r="E7" s="171"/>
      <c r="F7" s="171"/>
      <c r="G7" s="171"/>
      <c r="H7" s="171"/>
    </row>
    <row r="9" spans="1:19" ht="15.75" customHeight="1" x14ac:dyDescent="0.3">
      <c r="A9" s="169" t="s">
        <v>90</v>
      </c>
      <c r="B9" s="169"/>
      <c r="C9" s="169"/>
      <c r="D9" s="169"/>
      <c r="E9" s="169"/>
      <c r="F9" s="169"/>
      <c r="G9" s="169"/>
      <c r="M9" s="28"/>
      <c r="N9" s="28"/>
      <c r="O9" s="28"/>
      <c r="P9" s="28"/>
      <c r="Q9" s="28"/>
      <c r="R9" s="28"/>
      <c r="S9" s="28"/>
    </row>
    <row r="10" spans="1:19" ht="15.6" x14ac:dyDescent="0.3">
      <c r="A10" s="29"/>
      <c r="B10" s="29"/>
      <c r="C10" s="29"/>
      <c r="D10" s="29"/>
      <c r="E10" s="30"/>
      <c r="F10" s="30"/>
      <c r="G10" s="30"/>
      <c r="H10" s="31"/>
      <c r="I10" s="30"/>
      <c r="J10" s="30"/>
      <c r="K10" s="30"/>
      <c r="L10" s="30"/>
      <c r="M10" s="28"/>
      <c r="N10" s="28"/>
      <c r="O10" s="28"/>
      <c r="P10" s="28"/>
      <c r="Q10" s="28"/>
      <c r="R10" s="28"/>
      <c r="S10" s="28"/>
    </row>
    <row r="11" spans="1:19" x14ac:dyDescent="0.3">
      <c r="A11" s="82" t="s">
        <v>49</v>
      </c>
      <c r="B11" s="82" t="s">
        <v>50</v>
      </c>
      <c r="C11" s="82" t="s">
        <v>13</v>
      </c>
      <c r="D11" s="82" t="s">
        <v>104</v>
      </c>
      <c r="E11" s="82" t="s">
        <v>105</v>
      </c>
      <c r="F11" s="82" t="s">
        <v>51</v>
      </c>
      <c r="G11" s="82" t="s">
        <v>106</v>
      </c>
      <c r="H11" s="82" t="s">
        <v>107</v>
      </c>
      <c r="I11" s="82" t="s">
        <v>10</v>
      </c>
      <c r="J11" s="82" t="s">
        <v>43</v>
      </c>
      <c r="K11" s="82" t="s">
        <v>44</v>
      </c>
      <c r="L11" s="82" t="s">
        <v>4</v>
      </c>
      <c r="M11" s="82" t="s">
        <v>45</v>
      </c>
      <c r="N11" s="82" t="s">
        <v>5</v>
      </c>
      <c r="O11" s="82" t="s">
        <v>6</v>
      </c>
      <c r="P11" s="82" t="s">
        <v>46</v>
      </c>
      <c r="Q11" s="82" t="s">
        <v>47</v>
      </c>
      <c r="R11" s="82" t="s">
        <v>48</v>
      </c>
      <c r="S11" s="82"/>
    </row>
    <row r="12" spans="1:19" x14ac:dyDescent="0.3">
      <c r="A12" s="82" t="s">
        <v>116</v>
      </c>
      <c r="B12" s="82" t="s">
        <v>97</v>
      </c>
      <c r="C12" s="82" t="s">
        <v>117</v>
      </c>
      <c r="D12" s="82" t="s">
        <v>110</v>
      </c>
      <c r="E12" s="82" t="s">
        <v>118</v>
      </c>
      <c r="F12" s="82" t="s">
        <v>119</v>
      </c>
      <c r="G12" s="82" t="s">
        <v>120</v>
      </c>
      <c r="H12" s="82" t="s">
        <v>121</v>
      </c>
      <c r="I12" s="82">
        <v>-600000</v>
      </c>
      <c r="J12" s="82"/>
      <c r="K12" s="82"/>
      <c r="L12" s="82">
        <v>-600000</v>
      </c>
      <c r="M12" s="82"/>
      <c r="N12" s="82"/>
      <c r="O12" s="82"/>
      <c r="P12" s="82"/>
      <c r="Q12" s="82"/>
      <c r="R12" s="82"/>
      <c r="S12" s="82"/>
    </row>
    <row r="13" spans="1:19" x14ac:dyDescent="0.3">
      <c r="A13" s="82" t="s">
        <v>116</v>
      </c>
      <c r="B13" s="82" t="s">
        <v>52</v>
      </c>
      <c r="C13" s="82" t="s">
        <v>122</v>
      </c>
      <c r="D13" s="82" t="s">
        <v>110</v>
      </c>
      <c r="E13" s="82" t="s">
        <v>118</v>
      </c>
      <c r="F13" s="82" t="s">
        <v>123</v>
      </c>
      <c r="G13" s="82" t="s">
        <v>124</v>
      </c>
      <c r="H13" s="82" t="s">
        <v>125</v>
      </c>
      <c r="I13" s="82">
        <v>-633000</v>
      </c>
      <c r="J13" s="82"/>
      <c r="K13" s="82"/>
      <c r="L13" s="82"/>
      <c r="M13" s="82"/>
      <c r="N13" s="82"/>
      <c r="O13" s="82">
        <v>-633000</v>
      </c>
      <c r="P13" s="82"/>
      <c r="Q13" s="82"/>
      <c r="R13" s="82"/>
      <c r="S13" s="82"/>
    </row>
    <row r="14" spans="1:19" x14ac:dyDescent="0.3">
      <c r="A14" s="82" t="s">
        <v>119</v>
      </c>
      <c r="B14" s="82" t="s">
        <v>98</v>
      </c>
      <c r="C14" s="82" t="s">
        <v>117</v>
      </c>
      <c r="D14" s="82" t="s">
        <v>118</v>
      </c>
      <c r="E14" s="82" t="s">
        <v>110</v>
      </c>
      <c r="F14" s="82" t="s">
        <v>119</v>
      </c>
      <c r="G14" s="82" t="s">
        <v>120</v>
      </c>
      <c r="H14" s="82" t="s">
        <v>126</v>
      </c>
      <c r="I14" s="82">
        <v>600000</v>
      </c>
      <c r="J14" s="82"/>
      <c r="K14" s="82"/>
      <c r="L14" s="82">
        <v>600000</v>
      </c>
      <c r="M14" s="82"/>
      <c r="N14" s="82"/>
      <c r="O14" s="82"/>
      <c r="P14" s="82"/>
      <c r="Q14" s="82"/>
      <c r="R14" s="82"/>
      <c r="S14" s="82"/>
    </row>
    <row r="15" spans="1:19" x14ac:dyDescent="0.3">
      <c r="A15" s="82" t="s">
        <v>119</v>
      </c>
      <c r="B15" s="82" t="s">
        <v>52</v>
      </c>
      <c r="C15" s="82" t="s">
        <v>127</v>
      </c>
      <c r="D15" s="82" t="s">
        <v>110</v>
      </c>
      <c r="E15" s="82" t="s">
        <v>118</v>
      </c>
      <c r="F15" s="82" t="s">
        <v>123</v>
      </c>
      <c r="G15" s="82" t="s">
        <v>124</v>
      </c>
      <c r="H15" s="82" t="s">
        <v>125</v>
      </c>
      <c r="I15" s="82">
        <v>-633000</v>
      </c>
      <c r="J15" s="82"/>
      <c r="K15" s="82"/>
      <c r="L15" s="82"/>
      <c r="M15" s="82"/>
      <c r="N15" s="82"/>
      <c r="O15" s="82">
        <v>-633000</v>
      </c>
      <c r="P15" s="82"/>
      <c r="Q15" s="82"/>
      <c r="R15" s="82"/>
      <c r="S15" s="82"/>
    </row>
    <row r="16" spans="1:19" x14ac:dyDescent="0.3">
      <c r="A16" s="82" t="s">
        <v>109</v>
      </c>
      <c r="B16" s="82" t="s">
        <v>135</v>
      </c>
      <c r="C16" s="82" t="s">
        <v>136</v>
      </c>
      <c r="D16" s="82" t="s">
        <v>110</v>
      </c>
      <c r="E16" s="82" t="s">
        <v>118</v>
      </c>
      <c r="F16" s="82" t="s">
        <v>123</v>
      </c>
      <c r="G16" s="82"/>
      <c r="H16" s="82" t="s">
        <v>137</v>
      </c>
      <c r="I16" s="82">
        <v>-156462.41</v>
      </c>
      <c r="J16" s="82"/>
      <c r="K16" s="82"/>
      <c r="L16" s="82">
        <v>-4242</v>
      </c>
      <c r="M16" s="82">
        <v>-0.41</v>
      </c>
      <c r="N16" s="82">
        <v>-31250</v>
      </c>
      <c r="O16" s="82">
        <v>-120970</v>
      </c>
      <c r="P16" s="82"/>
      <c r="Q16" s="82"/>
      <c r="R16" s="82"/>
      <c r="S16" s="82"/>
    </row>
    <row r="17" spans="1:19" x14ac:dyDescent="0.3">
      <c r="A17" s="82" t="s">
        <v>109</v>
      </c>
      <c r="B17" s="82" t="s">
        <v>96</v>
      </c>
      <c r="C17" s="82" t="s">
        <v>131</v>
      </c>
      <c r="D17" s="82" t="s">
        <v>114</v>
      </c>
      <c r="E17" s="82" t="s">
        <v>110</v>
      </c>
      <c r="F17" s="82" t="s">
        <v>108</v>
      </c>
      <c r="G17" s="82"/>
      <c r="H17" s="82" t="s">
        <v>115</v>
      </c>
      <c r="I17" s="82">
        <v>350000</v>
      </c>
      <c r="J17" s="82"/>
      <c r="K17" s="82"/>
      <c r="L17" s="82">
        <v>350000</v>
      </c>
      <c r="M17" s="82"/>
      <c r="N17" s="82"/>
      <c r="O17" s="82"/>
      <c r="P17" s="82"/>
      <c r="Q17" s="82"/>
      <c r="R17" s="82"/>
      <c r="S17" s="82"/>
    </row>
    <row r="18" spans="1:19" x14ac:dyDescent="0.3">
      <c r="A18" s="82" t="s">
        <v>109</v>
      </c>
      <c r="B18" s="82" t="s">
        <v>52</v>
      </c>
      <c r="C18" s="82" t="s">
        <v>128</v>
      </c>
      <c r="D18" s="82" t="s">
        <v>110</v>
      </c>
      <c r="E18" s="82" t="s">
        <v>118</v>
      </c>
      <c r="F18" s="82" t="s">
        <v>123</v>
      </c>
      <c r="G18" s="82" t="s">
        <v>124</v>
      </c>
      <c r="H18" s="82" t="s">
        <v>125</v>
      </c>
      <c r="I18" s="82">
        <v>-633000</v>
      </c>
      <c r="J18" s="82"/>
      <c r="K18" s="82"/>
      <c r="L18" s="82"/>
      <c r="M18" s="82"/>
      <c r="N18" s="82"/>
      <c r="O18" s="82">
        <v>-633000</v>
      </c>
      <c r="P18" s="82"/>
      <c r="Q18" s="82"/>
      <c r="R18" s="82"/>
      <c r="S18" s="82"/>
    </row>
    <row r="19" spans="1:19" x14ac:dyDescent="0.3">
      <c r="A19" s="82" t="s">
        <v>108</v>
      </c>
      <c r="B19" s="82" t="s">
        <v>99</v>
      </c>
      <c r="C19" s="82" t="s">
        <v>131</v>
      </c>
      <c r="D19" s="82" t="s">
        <v>110</v>
      </c>
      <c r="E19" s="82" t="s">
        <v>114</v>
      </c>
      <c r="F19" s="82" t="s">
        <v>108</v>
      </c>
      <c r="G19" s="82"/>
      <c r="H19" s="82" t="s">
        <v>134</v>
      </c>
      <c r="I19" s="82">
        <v>-350000</v>
      </c>
      <c r="J19" s="82"/>
      <c r="K19" s="82"/>
      <c r="L19" s="82">
        <v>-350000</v>
      </c>
      <c r="M19" s="82"/>
      <c r="N19" s="82"/>
      <c r="O19" s="82"/>
      <c r="P19" s="82"/>
      <c r="Q19" s="82"/>
      <c r="R19" s="82"/>
      <c r="S19" s="82"/>
    </row>
    <row r="20" spans="1:19" x14ac:dyDescent="0.3">
      <c r="A20" s="98" t="s">
        <v>108</v>
      </c>
      <c r="B20" s="98" t="s">
        <v>52</v>
      </c>
      <c r="C20" s="98" t="s">
        <v>129</v>
      </c>
      <c r="D20" s="98" t="s">
        <v>110</v>
      </c>
      <c r="E20" s="98" t="s">
        <v>118</v>
      </c>
      <c r="F20" s="98" t="s">
        <v>123</v>
      </c>
      <c r="G20" s="98" t="s">
        <v>124</v>
      </c>
      <c r="H20" s="98" t="s">
        <v>130</v>
      </c>
      <c r="I20" s="98">
        <v>-633000</v>
      </c>
      <c r="J20" s="98"/>
      <c r="K20" s="98"/>
      <c r="L20" s="98"/>
      <c r="M20" s="98"/>
      <c r="N20" s="98"/>
      <c r="O20" s="98">
        <v>-633000</v>
      </c>
      <c r="P20" s="98"/>
      <c r="Q20" s="98"/>
      <c r="R20" s="98"/>
      <c r="S20" s="82"/>
    </row>
    <row r="21" spans="1:19" x14ac:dyDescent="0.3">
      <c r="A21" s="24" t="s">
        <v>138</v>
      </c>
      <c r="B21" s="24" t="s">
        <v>96</v>
      </c>
      <c r="C21" s="24" t="s">
        <v>139</v>
      </c>
      <c r="D21" s="24" t="s">
        <v>140</v>
      </c>
      <c r="E21" s="24" t="s">
        <v>110</v>
      </c>
      <c r="F21" s="24" t="s">
        <v>141</v>
      </c>
      <c r="H21" s="24" t="s">
        <v>142</v>
      </c>
      <c r="I21" s="24">
        <v>137000</v>
      </c>
      <c r="L21" s="24">
        <v>137000</v>
      </c>
      <c r="S21" s="82"/>
    </row>
    <row r="22" spans="1:19" x14ac:dyDescent="0.3">
      <c r="A22" s="24" t="s">
        <v>138</v>
      </c>
      <c r="B22" s="24" t="s">
        <v>97</v>
      </c>
      <c r="C22" s="24" t="s">
        <v>155</v>
      </c>
      <c r="D22" s="24" t="s">
        <v>110</v>
      </c>
      <c r="E22" s="24" t="s">
        <v>118</v>
      </c>
      <c r="F22" s="24" t="s">
        <v>141</v>
      </c>
      <c r="G22" s="24" t="s">
        <v>156</v>
      </c>
      <c r="H22" s="24" t="s">
        <v>157</v>
      </c>
      <c r="I22" s="24">
        <v>-70000</v>
      </c>
      <c r="O22" s="24">
        <v>-70000</v>
      </c>
      <c r="S22" s="82"/>
    </row>
    <row r="23" spans="1:19" x14ac:dyDescent="0.3">
      <c r="A23" s="24" t="s">
        <v>138</v>
      </c>
      <c r="B23" s="24" t="s">
        <v>97</v>
      </c>
      <c r="C23" s="24" t="s">
        <v>170</v>
      </c>
      <c r="D23" s="24" t="s">
        <v>110</v>
      </c>
      <c r="E23" s="24" t="s">
        <v>118</v>
      </c>
      <c r="F23" s="24" t="s">
        <v>141</v>
      </c>
      <c r="H23" s="24" t="s">
        <v>171</v>
      </c>
      <c r="I23" s="24">
        <v>-25090.12</v>
      </c>
      <c r="M23" s="24">
        <v>-25090.12</v>
      </c>
      <c r="S23" s="82"/>
    </row>
    <row r="24" spans="1:19" x14ac:dyDescent="0.3">
      <c r="A24" s="125" t="s">
        <v>138</v>
      </c>
      <c r="B24" s="125" t="s">
        <v>97</v>
      </c>
      <c r="C24" s="125" t="s">
        <v>170</v>
      </c>
      <c r="D24" s="125" t="s">
        <v>110</v>
      </c>
      <c r="E24" s="125" t="s">
        <v>118</v>
      </c>
      <c r="F24" s="125" t="s">
        <v>141</v>
      </c>
      <c r="G24" s="125"/>
      <c r="H24" s="125" t="s">
        <v>157</v>
      </c>
      <c r="I24" s="125">
        <v>-31935.71</v>
      </c>
      <c r="J24" s="125"/>
      <c r="K24" s="125"/>
      <c r="L24" s="125"/>
      <c r="M24" s="125"/>
      <c r="N24" s="125"/>
      <c r="O24" s="125">
        <v>-31935.71</v>
      </c>
      <c r="P24" s="125"/>
      <c r="Q24" s="125"/>
      <c r="R24" s="125"/>
      <c r="S24" s="82"/>
    </row>
    <row r="25" spans="1:19" x14ac:dyDescent="0.3">
      <c r="A25" s="125" t="s">
        <v>138</v>
      </c>
      <c r="B25" s="125" t="s">
        <v>97</v>
      </c>
      <c r="C25" s="125" t="s">
        <v>172</v>
      </c>
      <c r="D25" s="125" t="s">
        <v>110</v>
      </c>
      <c r="E25" s="125" t="s">
        <v>118</v>
      </c>
      <c r="F25" s="125" t="s">
        <v>141</v>
      </c>
      <c r="G25" s="125"/>
      <c r="H25" s="125" t="s">
        <v>173</v>
      </c>
      <c r="I25" s="125">
        <v>-593000</v>
      </c>
      <c r="J25" s="125"/>
      <c r="K25" s="125"/>
      <c r="L25" s="125">
        <v>-593000</v>
      </c>
      <c r="M25" s="125"/>
      <c r="N25" s="125"/>
      <c r="O25" s="125"/>
      <c r="P25" s="125"/>
      <c r="Q25" s="125"/>
      <c r="R25" s="125"/>
      <c r="S25" s="82"/>
    </row>
    <row r="26" spans="1:19" x14ac:dyDescent="0.3">
      <c r="A26" s="127" t="s">
        <v>138</v>
      </c>
      <c r="B26" s="127" t="s">
        <v>52</v>
      </c>
      <c r="C26" s="127" t="s">
        <v>146</v>
      </c>
      <c r="D26" s="127" t="s">
        <v>110</v>
      </c>
      <c r="E26" s="127" t="s">
        <v>118</v>
      </c>
      <c r="F26" s="127" t="s">
        <v>123</v>
      </c>
      <c r="G26" s="127" t="s">
        <v>147</v>
      </c>
      <c r="H26" s="127" t="s">
        <v>148</v>
      </c>
      <c r="I26" s="127">
        <v>-150000</v>
      </c>
      <c r="J26" s="127"/>
      <c r="K26" s="127"/>
      <c r="L26" s="127"/>
      <c r="M26" s="127"/>
      <c r="N26" s="127"/>
      <c r="O26" s="127">
        <v>-150000</v>
      </c>
      <c r="P26" s="127"/>
      <c r="Q26" s="127"/>
      <c r="R26" s="127"/>
      <c r="S26" s="82"/>
    </row>
    <row r="27" spans="1:19" x14ac:dyDescent="0.3">
      <c r="A27" s="127" t="s">
        <v>141</v>
      </c>
      <c r="B27" s="127" t="s">
        <v>96</v>
      </c>
      <c r="C27" s="127" t="s">
        <v>187</v>
      </c>
      <c r="D27" s="127" t="s">
        <v>114</v>
      </c>
      <c r="E27" s="127" t="s">
        <v>110</v>
      </c>
      <c r="F27" s="127" t="s">
        <v>188</v>
      </c>
      <c r="G27" s="127" t="s">
        <v>189</v>
      </c>
      <c r="H27" s="127" t="s">
        <v>190</v>
      </c>
      <c r="I27" s="127">
        <v>650000</v>
      </c>
      <c r="J27" s="127"/>
      <c r="K27" s="127"/>
      <c r="L27" s="127"/>
      <c r="M27" s="127"/>
      <c r="N27" s="127"/>
      <c r="O27" s="127">
        <v>650000</v>
      </c>
      <c r="P27" s="127"/>
      <c r="Q27" s="127"/>
      <c r="R27" s="127"/>
      <c r="S27" s="82"/>
    </row>
    <row r="28" spans="1:19" x14ac:dyDescent="0.3">
      <c r="A28" s="24" t="s">
        <v>141</v>
      </c>
      <c r="B28" s="24" t="s">
        <v>97</v>
      </c>
      <c r="C28" s="24" t="s">
        <v>212</v>
      </c>
      <c r="D28" s="24" t="s">
        <v>110</v>
      </c>
      <c r="E28" s="24" t="s">
        <v>118</v>
      </c>
      <c r="F28" s="24" t="s">
        <v>163</v>
      </c>
      <c r="G28" s="24" t="s">
        <v>213</v>
      </c>
      <c r="H28" s="24" t="s">
        <v>171</v>
      </c>
      <c r="I28" s="24">
        <v>-25000</v>
      </c>
      <c r="M28" s="24">
        <v>-25000</v>
      </c>
      <c r="S28" s="82"/>
    </row>
    <row r="29" spans="1:19" x14ac:dyDescent="0.3">
      <c r="A29" s="24" t="s">
        <v>141</v>
      </c>
      <c r="B29" s="24" t="s">
        <v>97</v>
      </c>
      <c r="C29" s="24" t="s">
        <v>212</v>
      </c>
      <c r="D29" s="24" t="s">
        <v>110</v>
      </c>
      <c r="E29" s="24" t="s">
        <v>118</v>
      </c>
      <c r="F29" s="24" t="s">
        <v>163</v>
      </c>
      <c r="G29" s="24" t="s">
        <v>213</v>
      </c>
      <c r="H29" s="24" t="s">
        <v>214</v>
      </c>
      <c r="I29" s="24">
        <v>-25000</v>
      </c>
      <c r="N29" s="24">
        <v>-25000</v>
      </c>
    </row>
    <row r="30" spans="1:19" x14ac:dyDescent="0.3">
      <c r="A30" s="24" t="s">
        <v>141</v>
      </c>
      <c r="B30" s="24" t="s">
        <v>97</v>
      </c>
      <c r="C30" s="24" t="s">
        <v>215</v>
      </c>
      <c r="D30" s="24" t="s">
        <v>110</v>
      </c>
      <c r="E30" s="24" t="s">
        <v>118</v>
      </c>
      <c r="F30" s="24" t="s">
        <v>163</v>
      </c>
      <c r="G30" s="24" t="s">
        <v>203</v>
      </c>
      <c r="H30" s="24" t="s">
        <v>157</v>
      </c>
      <c r="I30" s="24">
        <v>-34000</v>
      </c>
      <c r="O30" s="24">
        <v>-34000</v>
      </c>
    </row>
    <row r="31" spans="1:19" x14ac:dyDescent="0.3">
      <c r="A31" s="24" t="s">
        <v>141</v>
      </c>
      <c r="B31" s="24" t="s">
        <v>97</v>
      </c>
      <c r="C31" s="24" t="s">
        <v>215</v>
      </c>
      <c r="D31" s="24" t="s">
        <v>110</v>
      </c>
      <c r="E31" s="24" t="s">
        <v>118</v>
      </c>
      <c r="F31" s="24" t="s">
        <v>163</v>
      </c>
      <c r="G31" s="24" t="s">
        <v>216</v>
      </c>
      <c r="H31" s="24" t="s">
        <v>157</v>
      </c>
      <c r="I31" s="24">
        <v>-274788.05</v>
      </c>
      <c r="L31" s="24">
        <v>-274788.05</v>
      </c>
    </row>
    <row r="32" spans="1:19" x14ac:dyDescent="0.3">
      <c r="A32" s="24" t="s">
        <v>141</v>
      </c>
      <c r="B32" s="24" t="s">
        <v>97</v>
      </c>
      <c r="C32" s="24" t="s">
        <v>217</v>
      </c>
      <c r="D32" s="24" t="s">
        <v>110</v>
      </c>
      <c r="E32" s="24" t="s">
        <v>118</v>
      </c>
      <c r="F32" s="24" t="s">
        <v>163</v>
      </c>
      <c r="G32" s="24" t="s">
        <v>211</v>
      </c>
      <c r="H32" s="24" t="s">
        <v>157</v>
      </c>
      <c r="I32" s="24">
        <v>-570835.57999999996</v>
      </c>
      <c r="O32" s="24">
        <v>-570835.57999999996</v>
      </c>
    </row>
    <row r="33" spans="1:19" x14ac:dyDescent="0.3">
      <c r="A33" s="24" t="s">
        <v>141</v>
      </c>
      <c r="B33" s="24" t="s">
        <v>98</v>
      </c>
      <c r="C33" s="24" t="s">
        <v>155</v>
      </c>
      <c r="D33" s="24" t="s">
        <v>118</v>
      </c>
      <c r="E33" s="24" t="s">
        <v>110</v>
      </c>
      <c r="F33" s="24" t="s">
        <v>141</v>
      </c>
      <c r="G33" s="24" t="s">
        <v>156</v>
      </c>
      <c r="H33" s="24" t="s">
        <v>157</v>
      </c>
      <c r="I33" s="24">
        <v>70000</v>
      </c>
      <c r="O33" s="24">
        <v>70000</v>
      </c>
    </row>
    <row r="34" spans="1:19" x14ac:dyDescent="0.3">
      <c r="A34" s="135" t="s">
        <v>141</v>
      </c>
      <c r="B34" s="135" t="s">
        <v>98</v>
      </c>
      <c r="C34" s="135" t="s">
        <v>170</v>
      </c>
      <c r="D34" s="135" t="s">
        <v>118</v>
      </c>
      <c r="E34" s="135" t="s">
        <v>110</v>
      </c>
      <c r="F34" s="135" t="s">
        <v>141</v>
      </c>
      <c r="G34" s="135"/>
      <c r="H34" s="135" t="s">
        <v>171</v>
      </c>
      <c r="I34" s="135">
        <v>25090.12</v>
      </c>
      <c r="J34" s="135"/>
      <c r="K34" s="135"/>
      <c r="L34" s="135"/>
      <c r="M34" s="135">
        <v>25090.12</v>
      </c>
      <c r="N34" s="135"/>
      <c r="O34" s="135"/>
      <c r="P34" s="135"/>
      <c r="Q34" s="135"/>
      <c r="R34" s="135"/>
    </row>
    <row r="35" spans="1:19" x14ac:dyDescent="0.3">
      <c r="A35" s="135" t="s">
        <v>141</v>
      </c>
      <c r="B35" s="135" t="s">
        <v>98</v>
      </c>
      <c r="C35" s="135" t="s">
        <v>170</v>
      </c>
      <c r="D35" s="135" t="s">
        <v>118</v>
      </c>
      <c r="E35" s="135" t="s">
        <v>110</v>
      </c>
      <c r="F35" s="135" t="s">
        <v>141</v>
      </c>
      <c r="G35" s="135"/>
      <c r="H35" s="135" t="s">
        <v>157</v>
      </c>
      <c r="I35" s="135">
        <v>31935.71</v>
      </c>
      <c r="J35" s="135"/>
      <c r="K35" s="135"/>
      <c r="L35" s="135"/>
      <c r="M35" s="135"/>
      <c r="N35" s="135"/>
      <c r="O35" s="135">
        <v>31935.71</v>
      </c>
      <c r="P35" s="135"/>
      <c r="Q35" s="135"/>
      <c r="R35" s="135"/>
      <c r="S35" s="9"/>
    </row>
    <row r="36" spans="1:19" x14ac:dyDescent="0.3">
      <c r="A36" s="135" t="s">
        <v>141</v>
      </c>
      <c r="B36" s="135" t="s">
        <v>98</v>
      </c>
      <c r="C36" s="135" t="s">
        <v>172</v>
      </c>
      <c r="D36" s="135" t="s">
        <v>118</v>
      </c>
      <c r="E36" s="135" t="s">
        <v>110</v>
      </c>
      <c r="F36" s="135" t="s">
        <v>141</v>
      </c>
      <c r="G36" s="135"/>
      <c r="H36" s="135" t="s">
        <v>173</v>
      </c>
      <c r="I36" s="135">
        <v>593000</v>
      </c>
      <c r="J36" s="135"/>
      <c r="K36" s="135"/>
      <c r="L36" s="135">
        <v>593000</v>
      </c>
      <c r="M36" s="135"/>
      <c r="N36" s="135"/>
      <c r="O36" s="135"/>
      <c r="P36" s="135"/>
      <c r="Q36" s="135"/>
      <c r="R36" s="135"/>
      <c r="S36" s="9"/>
    </row>
    <row r="37" spans="1:19" x14ac:dyDescent="0.3">
      <c r="A37" s="154" t="s">
        <v>141</v>
      </c>
      <c r="B37" s="154" t="s">
        <v>99</v>
      </c>
      <c r="C37" s="154" t="s">
        <v>139</v>
      </c>
      <c r="D37" s="154" t="s">
        <v>110</v>
      </c>
      <c r="E37" s="154" t="s">
        <v>140</v>
      </c>
      <c r="F37" s="154" t="s">
        <v>141</v>
      </c>
      <c r="G37" s="154"/>
      <c r="H37" s="154" t="s">
        <v>142</v>
      </c>
      <c r="I37" s="154">
        <v>-137000</v>
      </c>
      <c r="J37" s="154"/>
      <c r="K37" s="154"/>
      <c r="L37" s="154">
        <v>-137000</v>
      </c>
      <c r="M37" s="154"/>
      <c r="N37" s="154"/>
      <c r="O37" s="154"/>
      <c r="P37" s="154"/>
      <c r="Q37" s="154"/>
      <c r="R37" s="154"/>
    </row>
    <row r="38" spans="1:19" x14ac:dyDescent="0.3">
      <c r="A38" s="24" t="s">
        <v>141</v>
      </c>
      <c r="B38" s="24" t="s">
        <v>52</v>
      </c>
      <c r="C38" s="24" t="s">
        <v>152</v>
      </c>
      <c r="D38" s="24" t="s">
        <v>110</v>
      </c>
      <c r="E38" s="24" t="s">
        <v>118</v>
      </c>
      <c r="F38" s="24" t="s">
        <v>123</v>
      </c>
      <c r="G38" s="24" t="s">
        <v>153</v>
      </c>
      <c r="H38" s="24" t="s">
        <v>154</v>
      </c>
      <c r="I38" s="24">
        <v>-230000</v>
      </c>
      <c r="L38" s="24">
        <v>-230000</v>
      </c>
    </row>
    <row r="39" spans="1:19" x14ac:dyDescent="0.3">
      <c r="A39" s="24" t="s">
        <v>141</v>
      </c>
      <c r="B39" s="24" t="s">
        <v>52</v>
      </c>
      <c r="C39" s="24" t="s">
        <v>210</v>
      </c>
      <c r="D39" s="24" t="s">
        <v>110</v>
      </c>
      <c r="E39" s="24" t="s">
        <v>118</v>
      </c>
      <c r="F39" s="24" t="s">
        <v>123</v>
      </c>
      <c r="G39" s="24" t="s">
        <v>211</v>
      </c>
      <c r="H39" s="24" t="s">
        <v>148</v>
      </c>
      <c r="I39" s="24">
        <v>-50000</v>
      </c>
      <c r="O39" s="24">
        <v>-50000</v>
      </c>
    </row>
    <row r="40" spans="1:19" x14ac:dyDescent="0.3">
      <c r="A40" s="24" t="s">
        <v>141</v>
      </c>
      <c r="B40" s="24" t="s">
        <v>52</v>
      </c>
      <c r="C40" s="24" t="s">
        <v>195</v>
      </c>
      <c r="D40" s="24" t="s">
        <v>110</v>
      </c>
      <c r="E40" s="24" t="s">
        <v>114</v>
      </c>
      <c r="F40" s="24" t="s">
        <v>123</v>
      </c>
      <c r="G40" s="24" t="s">
        <v>196</v>
      </c>
      <c r="H40" s="24" t="s">
        <v>197</v>
      </c>
      <c r="I40" s="24">
        <v>-45000</v>
      </c>
      <c r="L40" s="24">
        <v>-45000</v>
      </c>
    </row>
    <row r="41" spans="1:19" x14ac:dyDescent="0.3">
      <c r="A41" s="24" t="s">
        <v>163</v>
      </c>
      <c r="B41" s="24" t="s">
        <v>98</v>
      </c>
      <c r="C41" s="24" t="s">
        <v>212</v>
      </c>
      <c r="D41" s="24" t="s">
        <v>118</v>
      </c>
      <c r="E41" s="24" t="s">
        <v>110</v>
      </c>
      <c r="F41" s="24" t="s">
        <v>163</v>
      </c>
      <c r="G41" s="24" t="s">
        <v>213</v>
      </c>
      <c r="H41" s="24" t="s">
        <v>171</v>
      </c>
      <c r="I41" s="24">
        <v>25000</v>
      </c>
      <c r="M41" s="24">
        <v>25000</v>
      </c>
    </row>
    <row r="42" spans="1:19" x14ac:dyDescent="0.3">
      <c r="A42" s="24" t="s">
        <v>163</v>
      </c>
      <c r="B42" s="24" t="s">
        <v>98</v>
      </c>
      <c r="C42" s="24" t="s">
        <v>212</v>
      </c>
      <c r="D42" s="24" t="s">
        <v>118</v>
      </c>
      <c r="E42" s="24" t="s">
        <v>110</v>
      </c>
      <c r="F42" s="24" t="s">
        <v>163</v>
      </c>
      <c r="G42" s="24" t="s">
        <v>213</v>
      </c>
      <c r="H42" s="24" t="s">
        <v>214</v>
      </c>
      <c r="I42" s="24">
        <v>25000</v>
      </c>
      <c r="N42" s="24">
        <v>25000</v>
      </c>
    </row>
    <row r="43" spans="1:19" x14ac:dyDescent="0.3">
      <c r="A43" s="24" t="s">
        <v>163</v>
      </c>
      <c r="B43" s="24" t="s">
        <v>98</v>
      </c>
      <c r="C43" s="24" t="s">
        <v>215</v>
      </c>
      <c r="D43" s="24" t="s">
        <v>118</v>
      </c>
      <c r="E43" s="24" t="s">
        <v>110</v>
      </c>
      <c r="F43" s="24" t="s">
        <v>163</v>
      </c>
      <c r="G43" s="24" t="s">
        <v>203</v>
      </c>
      <c r="H43" s="24" t="s">
        <v>157</v>
      </c>
      <c r="I43" s="24">
        <v>34000</v>
      </c>
      <c r="O43" s="24">
        <v>34000</v>
      </c>
    </row>
    <row r="44" spans="1:19" x14ac:dyDescent="0.3">
      <c r="A44" s="24" t="s">
        <v>163</v>
      </c>
      <c r="B44" s="24" t="s">
        <v>98</v>
      </c>
      <c r="C44" s="24" t="s">
        <v>215</v>
      </c>
      <c r="D44" s="24" t="s">
        <v>118</v>
      </c>
      <c r="E44" s="24" t="s">
        <v>110</v>
      </c>
      <c r="F44" s="24" t="s">
        <v>163</v>
      </c>
      <c r="G44" s="24" t="s">
        <v>216</v>
      </c>
      <c r="H44" s="24" t="s">
        <v>157</v>
      </c>
      <c r="I44" s="24">
        <v>274788.05</v>
      </c>
      <c r="L44" s="24">
        <v>274788.05</v>
      </c>
    </row>
    <row r="45" spans="1:19" x14ac:dyDescent="0.3">
      <c r="A45" s="24" t="s">
        <v>163</v>
      </c>
      <c r="B45" s="24" t="s">
        <v>98</v>
      </c>
      <c r="C45" s="24" t="s">
        <v>217</v>
      </c>
      <c r="D45" s="24" t="s">
        <v>118</v>
      </c>
      <c r="E45" s="24" t="s">
        <v>110</v>
      </c>
      <c r="F45" s="24" t="s">
        <v>163</v>
      </c>
      <c r="G45" s="24" t="s">
        <v>211</v>
      </c>
      <c r="H45" s="24" t="s">
        <v>157</v>
      </c>
      <c r="I45" s="24">
        <v>570835.57999999996</v>
      </c>
      <c r="O45" s="24">
        <v>570835.57999999996</v>
      </c>
    </row>
    <row r="46" spans="1:19" x14ac:dyDescent="0.3">
      <c r="A46" s="24" t="s">
        <v>163</v>
      </c>
      <c r="B46" s="24" t="s">
        <v>52</v>
      </c>
      <c r="C46" s="24" t="s">
        <v>164</v>
      </c>
      <c r="D46" s="24" t="s">
        <v>110</v>
      </c>
      <c r="E46" s="24" t="s">
        <v>118</v>
      </c>
      <c r="F46" s="24" t="s">
        <v>123</v>
      </c>
      <c r="G46" s="24" t="s">
        <v>158</v>
      </c>
      <c r="H46" s="24" t="s">
        <v>148</v>
      </c>
      <c r="I46" s="24">
        <v>-633000</v>
      </c>
      <c r="O46" s="24">
        <v>-633000</v>
      </c>
    </row>
    <row r="47" spans="1:19" x14ac:dyDescent="0.3">
      <c r="A47" s="24" t="s">
        <v>188</v>
      </c>
      <c r="B47" s="24" t="s">
        <v>99</v>
      </c>
      <c r="C47" s="24" t="s">
        <v>187</v>
      </c>
      <c r="D47" s="24" t="s">
        <v>110</v>
      </c>
      <c r="E47" s="24" t="s">
        <v>114</v>
      </c>
      <c r="F47" s="24" t="s">
        <v>188</v>
      </c>
      <c r="G47" s="24" t="s">
        <v>189</v>
      </c>
      <c r="H47" s="24" t="s">
        <v>190</v>
      </c>
      <c r="I47" s="24">
        <v>-650000</v>
      </c>
      <c r="O47" s="24">
        <v>-650000</v>
      </c>
    </row>
    <row r="48" spans="1:19" x14ac:dyDescent="0.3">
      <c r="A48" s="82"/>
      <c r="B48" s="82"/>
      <c r="C48" s="82"/>
      <c r="D48" s="82"/>
      <c r="E48" s="82"/>
      <c r="F48" s="82"/>
      <c r="G48" s="82"/>
      <c r="H48" s="82"/>
      <c r="I48" s="82"/>
      <c r="J48" s="82"/>
      <c r="K48" s="82"/>
      <c r="L48" s="82"/>
      <c r="M48" s="82"/>
      <c r="N48" s="82"/>
      <c r="O48" s="82"/>
      <c r="P48" s="82"/>
      <c r="Q48" s="82"/>
      <c r="R48" s="82"/>
    </row>
    <row r="49" spans="1:18" x14ac:dyDescent="0.3">
      <c r="A49" s="82"/>
      <c r="B49" s="82"/>
      <c r="C49" s="82"/>
      <c r="D49" s="82"/>
      <c r="E49" s="82"/>
      <c r="F49" s="82"/>
      <c r="G49" s="82"/>
      <c r="H49" s="82"/>
      <c r="I49" s="82"/>
      <c r="J49" s="82"/>
      <c r="K49" s="82"/>
      <c r="L49" s="82"/>
      <c r="M49" s="82"/>
      <c r="N49" s="82"/>
      <c r="O49" s="82"/>
      <c r="P49" s="82"/>
      <c r="Q49" s="82"/>
      <c r="R49" s="82"/>
    </row>
    <row r="50" spans="1:18" x14ac:dyDescent="0.3">
      <c r="A50" s="82"/>
      <c r="B50" s="82"/>
      <c r="C50" s="82"/>
      <c r="D50" s="82"/>
      <c r="E50" s="82"/>
      <c r="F50" s="82"/>
      <c r="G50" s="82"/>
      <c r="H50" s="82"/>
      <c r="I50" s="82"/>
      <c r="J50" s="82"/>
      <c r="K50" s="82"/>
      <c r="L50" s="82"/>
      <c r="M50" s="82"/>
      <c r="N50" s="82"/>
      <c r="O50" s="82"/>
      <c r="P50" s="82"/>
      <c r="Q50" s="82"/>
      <c r="R50" s="82"/>
    </row>
    <row r="51" spans="1:18" ht="15.6" x14ac:dyDescent="0.3">
      <c r="A51" s="170" t="s">
        <v>91</v>
      </c>
      <c r="B51" s="170"/>
      <c r="C51" s="170"/>
      <c r="D51" s="170"/>
      <c r="E51" s="170"/>
      <c r="F51" s="170"/>
      <c r="G51" s="170"/>
    </row>
    <row r="53" spans="1:18" x14ac:dyDescent="0.3">
      <c r="A53" s="67" t="s">
        <v>49</v>
      </c>
      <c r="B53" s="67" t="s">
        <v>50</v>
      </c>
      <c r="C53" s="67" t="s">
        <v>13</v>
      </c>
      <c r="D53" s="67" t="s">
        <v>104</v>
      </c>
      <c r="E53" s="67" t="s">
        <v>105</v>
      </c>
      <c r="F53" s="67" t="s">
        <v>51</v>
      </c>
      <c r="G53" s="67" t="s">
        <v>106</v>
      </c>
      <c r="H53" s="67" t="s">
        <v>107</v>
      </c>
      <c r="I53" s="67" t="s">
        <v>10</v>
      </c>
      <c r="J53" s="67" t="s">
        <v>43</v>
      </c>
      <c r="K53" s="67" t="s">
        <v>44</v>
      </c>
      <c r="L53" s="67" t="s">
        <v>4</v>
      </c>
      <c r="M53" s="67" t="s">
        <v>45</v>
      </c>
      <c r="N53" s="67" t="s">
        <v>5</v>
      </c>
      <c r="O53" s="67" t="s">
        <v>6</v>
      </c>
      <c r="P53" s="67" t="s">
        <v>46</v>
      </c>
      <c r="Q53" s="67" t="s">
        <v>47</v>
      </c>
      <c r="R53" s="67" t="s">
        <v>48</v>
      </c>
    </row>
    <row r="54" spans="1:18" x14ac:dyDescent="0.3">
      <c r="A54" s="30" t="s">
        <v>116</v>
      </c>
      <c r="B54" s="30" t="s">
        <v>97</v>
      </c>
      <c r="C54" s="30" t="s">
        <v>117</v>
      </c>
      <c r="D54" s="67" t="s">
        <v>110</v>
      </c>
      <c r="E54" s="67" t="s">
        <v>118</v>
      </c>
      <c r="F54" s="30" t="s">
        <v>119</v>
      </c>
      <c r="G54" s="67" t="s">
        <v>120</v>
      </c>
      <c r="H54" s="67" t="s">
        <v>121</v>
      </c>
      <c r="I54" s="30">
        <v>-600000</v>
      </c>
      <c r="J54" s="30"/>
      <c r="K54" s="30"/>
      <c r="L54" s="30">
        <v>-600000</v>
      </c>
      <c r="M54" s="30"/>
      <c r="N54" s="30"/>
      <c r="O54" s="30"/>
      <c r="P54" s="30"/>
      <c r="Q54" s="30"/>
      <c r="R54" s="30"/>
    </row>
    <row r="55" spans="1:18" x14ac:dyDescent="0.3">
      <c r="A55" s="67" t="s">
        <v>116</v>
      </c>
      <c r="B55" s="67" t="s">
        <v>52</v>
      </c>
      <c r="C55" s="67" t="s">
        <v>122</v>
      </c>
      <c r="D55" s="67" t="s">
        <v>110</v>
      </c>
      <c r="E55" s="67" t="s">
        <v>118</v>
      </c>
      <c r="F55" s="67" t="s">
        <v>123</v>
      </c>
      <c r="G55" s="67" t="s">
        <v>124</v>
      </c>
      <c r="H55" s="67" t="s">
        <v>125</v>
      </c>
      <c r="I55" s="67">
        <v>-633000</v>
      </c>
      <c r="J55" s="67"/>
      <c r="K55" s="67"/>
      <c r="L55" s="67"/>
      <c r="M55" s="67"/>
      <c r="N55" s="67"/>
      <c r="O55" s="67">
        <v>-633000</v>
      </c>
      <c r="P55" s="67"/>
      <c r="Q55" s="67"/>
      <c r="R55" s="67"/>
    </row>
    <row r="56" spans="1:18" x14ac:dyDescent="0.3">
      <c r="A56" s="67" t="s">
        <v>119</v>
      </c>
      <c r="B56" s="67" t="s">
        <v>98</v>
      </c>
      <c r="C56" s="67" t="s">
        <v>117</v>
      </c>
      <c r="D56" s="67" t="s">
        <v>118</v>
      </c>
      <c r="E56" s="67" t="s">
        <v>110</v>
      </c>
      <c r="F56" s="67" t="s">
        <v>119</v>
      </c>
      <c r="G56" s="67" t="s">
        <v>120</v>
      </c>
      <c r="H56" s="67" t="s">
        <v>126</v>
      </c>
      <c r="I56" s="67">
        <v>600000</v>
      </c>
      <c r="J56" s="67"/>
      <c r="K56" s="67"/>
      <c r="L56" s="67">
        <v>600000</v>
      </c>
      <c r="M56" s="67"/>
      <c r="N56" s="67"/>
      <c r="O56" s="67"/>
      <c r="P56" s="67"/>
      <c r="Q56" s="67"/>
      <c r="R56" s="67"/>
    </row>
    <row r="57" spans="1:18" x14ac:dyDescent="0.3">
      <c r="A57" s="67" t="s">
        <v>119</v>
      </c>
      <c r="B57" s="67" t="s">
        <v>52</v>
      </c>
      <c r="C57" s="67" t="s">
        <v>127</v>
      </c>
      <c r="D57" s="67" t="s">
        <v>110</v>
      </c>
      <c r="E57" s="67" t="s">
        <v>118</v>
      </c>
      <c r="F57" s="67" t="s">
        <v>123</v>
      </c>
      <c r="G57" s="67" t="s">
        <v>124</v>
      </c>
      <c r="H57" s="67" t="s">
        <v>125</v>
      </c>
      <c r="I57" s="67">
        <v>-633000</v>
      </c>
      <c r="J57" s="67"/>
      <c r="K57" s="67"/>
      <c r="L57" s="67"/>
      <c r="M57" s="67"/>
      <c r="N57" s="67"/>
      <c r="O57" s="67">
        <v>-633000</v>
      </c>
      <c r="P57" s="67"/>
      <c r="Q57" s="67"/>
      <c r="R57" s="67"/>
    </row>
    <row r="58" spans="1:18" x14ac:dyDescent="0.3">
      <c r="A58" s="67" t="s">
        <v>109</v>
      </c>
      <c r="B58" s="67" t="s">
        <v>135</v>
      </c>
      <c r="C58" s="67" t="s">
        <v>136</v>
      </c>
      <c r="D58" s="67" t="s">
        <v>110</v>
      </c>
      <c r="E58" s="67" t="s">
        <v>118</v>
      </c>
      <c r="F58" s="67" t="s">
        <v>123</v>
      </c>
      <c r="G58" s="67"/>
      <c r="H58" s="67" t="s">
        <v>137</v>
      </c>
      <c r="I58" s="67">
        <v>-0.92</v>
      </c>
      <c r="J58" s="67"/>
      <c r="K58" s="67"/>
      <c r="L58" s="67">
        <v>0</v>
      </c>
      <c r="M58" s="67">
        <v>0</v>
      </c>
      <c r="N58" s="67">
        <v>0</v>
      </c>
      <c r="O58" s="67">
        <v>0</v>
      </c>
      <c r="P58" s="67"/>
      <c r="Q58" s="67"/>
      <c r="R58" s="67"/>
    </row>
    <row r="59" spans="1:18" x14ac:dyDescent="0.3">
      <c r="A59" s="67" t="s">
        <v>109</v>
      </c>
      <c r="B59" s="67" t="s">
        <v>96</v>
      </c>
      <c r="C59" s="67" t="s">
        <v>131</v>
      </c>
      <c r="D59" s="67" t="s">
        <v>114</v>
      </c>
      <c r="E59" s="67" t="s">
        <v>110</v>
      </c>
      <c r="F59" s="67" t="s">
        <v>108</v>
      </c>
      <c r="G59" s="67"/>
      <c r="H59" s="67" t="s">
        <v>115</v>
      </c>
      <c r="I59" s="67">
        <v>350000</v>
      </c>
      <c r="J59" s="67"/>
      <c r="K59" s="67"/>
      <c r="L59" s="67">
        <v>350000</v>
      </c>
      <c r="M59" s="67"/>
      <c r="N59" s="67"/>
      <c r="O59" s="67"/>
      <c r="P59" s="67"/>
      <c r="Q59" s="67"/>
      <c r="R59" s="67"/>
    </row>
    <row r="60" spans="1:18" x14ac:dyDescent="0.3">
      <c r="A60" s="24" t="s">
        <v>109</v>
      </c>
      <c r="B60" s="24" t="s">
        <v>52</v>
      </c>
      <c r="C60" s="24" t="s">
        <v>128</v>
      </c>
      <c r="D60" s="24" t="s">
        <v>110</v>
      </c>
      <c r="E60" s="24" t="s">
        <v>118</v>
      </c>
      <c r="F60" s="24" t="s">
        <v>123</v>
      </c>
      <c r="G60" s="24" t="s">
        <v>124</v>
      </c>
      <c r="H60" s="24" t="s">
        <v>125</v>
      </c>
      <c r="I60" s="24">
        <v>-633000</v>
      </c>
      <c r="O60" s="24">
        <v>-633000</v>
      </c>
    </row>
    <row r="61" spans="1:18" x14ac:dyDescent="0.3">
      <c r="A61" s="24" t="s">
        <v>108</v>
      </c>
      <c r="B61" s="24" t="s">
        <v>99</v>
      </c>
      <c r="C61" s="24" t="s">
        <v>131</v>
      </c>
      <c r="D61" s="24" t="s">
        <v>110</v>
      </c>
      <c r="E61" s="24" t="s">
        <v>114</v>
      </c>
      <c r="F61" s="24" t="s">
        <v>108</v>
      </c>
      <c r="H61" s="24" t="s">
        <v>134</v>
      </c>
      <c r="I61" s="24">
        <v>-350000</v>
      </c>
      <c r="L61" s="24">
        <v>-350000</v>
      </c>
    </row>
    <row r="62" spans="1:18" x14ac:dyDescent="0.3">
      <c r="A62" s="117" t="s">
        <v>108</v>
      </c>
      <c r="B62" s="117" t="s">
        <v>52</v>
      </c>
      <c r="C62" s="117" t="s">
        <v>129</v>
      </c>
      <c r="D62" s="117" t="s">
        <v>110</v>
      </c>
      <c r="E62" s="117" t="s">
        <v>118</v>
      </c>
      <c r="F62" s="117" t="s">
        <v>123</v>
      </c>
      <c r="G62" s="117" t="s">
        <v>124</v>
      </c>
      <c r="H62" s="117" t="s">
        <v>130</v>
      </c>
      <c r="I62" s="117">
        <v>-633000</v>
      </c>
      <c r="J62" s="117"/>
      <c r="K62" s="117"/>
      <c r="L62" s="117"/>
      <c r="M62" s="117"/>
      <c r="N62" s="117"/>
      <c r="O62" s="117">
        <v>-633000</v>
      </c>
      <c r="P62" s="117"/>
      <c r="Q62" s="117"/>
      <c r="R62" s="117"/>
    </row>
    <row r="63" spans="1:18" x14ac:dyDescent="0.3">
      <c r="A63" s="24" t="s">
        <v>138</v>
      </c>
      <c r="B63" s="24" t="s">
        <v>96</v>
      </c>
      <c r="C63" s="24" t="s">
        <v>139</v>
      </c>
      <c r="D63" s="24" t="s">
        <v>140</v>
      </c>
      <c r="E63" s="24" t="s">
        <v>110</v>
      </c>
      <c r="F63" s="24" t="s">
        <v>141</v>
      </c>
      <c r="H63" s="24" t="s">
        <v>142</v>
      </c>
      <c r="I63" s="24">
        <v>137000</v>
      </c>
      <c r="L63" s="24">
        <v>137000</v>
      </c>
    </row>
    <row r="64" spans="1:18" x14ac:dyDescent="0.3">
      <c r="A64" s="24" t="s">
        <v>138</v>
      </c>
      <c r="B64" s="24" t="s">
        <v>97</v>
      </c>
      <c r="C64" s="24" t="s">
        <v>155</v>
      </c>
      <c r="D64" s="24" t="s">
        <v>110</v>
      </c>
      <c r="E64" s="24" t="s">
        <v>118</v>
      </c>
      <c r="F64" s="24" t="s">
        <v>141</v>
      </c>
      <c r="G64" s="24" t="s">
        <v>156</v>
      </c>
      <c r="H64" s="24" t="s">
        <v>157</v>
      </c>
      <c r="I64" s="24">
        <v>-70000</v>
      </c>
      <c r="O64" s="24">
        <v>-70000</v>
      </c>
    </row>
    <row r="65" spans="1:18" x14ac:dyDescent="0.3">
      <c r="A65" s="24" t="s">
        <v>138</v>
      </c>
      <c r="B65" s="24" t="s">
        <v>97</v>
      </c>
      <c r="C65" s="24" t="s">
        <v>170</v>
      </c>
      <c r="D65" s="24" t="s">
        <v>110</v>
      </c>
      <c r="E65" s="24" t="s">
        <v>118</v>
      </c>
      <c r="F65" s="24" t="s">
        <v>141</v>
      </c>
      <c r="H65" s="24" t="s">
        <v>171</v>
      </c>
      <c r="I65" s="24">
        <v>-25090.12</v>
      </c>
      <c r="M65" s="24">
        <v>-25090.12</v>
      </c>
    </row>
    <row r="66" spans="1:18" x14ac:dyDescent="0.3">
      <c r="A66" s="24" t="s">
        <v>138</v>
      </c>
      <c r="B66" s="24" t="s">
        <v>97</v>
      </c>
      <c r="C66" s="24" t="s">
        <v>170</v>
      </c>
      <c r="D66" s="24" t="s">
        <v>110</v>
      </c>
      <c r="E66" s="24" t="s">
        <v>118</v>
      </c>
      <c r="F66" s="24" t="s">
        <v>141</v>
      </c>
      <c r="H66" s="24" t="s">
        <v>157</v>
      </c>
      <c r="I66" s="24">
        <v>-31935.71</v>
      </c>
      <c r="O66" s="24">
        <v>-31935.71</v>
      </c>
    </row>
    <row r="67" spans="1:18" x14ac:dyDescent="0.3">
      <c r="A67" s="125" t="s">
        <v>138</v>
      </c>
      <c r="B67" s="125" t="s">
        <v>97</v>
      </c>
      <c r="C67" s="125" t="s">
        <v>172</v>
      </c>
      <c r="D67" s="125" t="s">
        <v>110</v>
      </c>
      <c r="E67" s="125" t="s">
        <v>118</v>
      </c>
      <c r="F67" s="125" t="s">
        <v>141</v>
      </c>
      <c r="G67" s="125"/>
      <c r="H67" s="125" t="s">
        <v>173</v>
      </c>
      <c r="I67" s="125">
        <v>-593000</v>
      </c>
      <c r="J67" s="125"/>
      <c r="K67" s="125"/>
      <c r="L67" s="125">
        <v>-593000</v>
      </c>
      <c r="M67" s="125"/>
      <c r="N67" s="125"/>
      <c r="O67" s="125"/>
      <c r="P67" s="125"/>
      <c r="Q67" s="125"/>
      <c r="R67" s="125"/>
    </row>
    <row r="68" spans="1:18" x14ac:dyDescent="0.3">
      <c r="A68" s="125" t="s">
        <v>138</v>
      </c>
      <c r="B68" s="125" t="s">
        <v>52</v>
      </c>
      <c r="C68" s="125" t="s">
        <v>146</v>
      </c>
      <c r="D68" s="125" t="s">
        <v>110</v>
      </c>
      <c r="E68" s="125" t="s">
        <v>118</v>
      </c>
      <c r="F68" s="125" t="s">
        <v>123</v>
      </c>
      <c r="G68" s="125" t="s">
        <v>147</v>
      </c>
      <c r="H68" s="125" t="s">
        <v>148</v>
      </c>
      <c r="I68" s="125">
        <v>-150000</v>
      </c>
      <c r="J68" s="125"/>
      <c r="K68" s="125"/>
      <c r="L68" s="125"/>
      <c r="M68" s="125"/>
      <c r="N68" s="125"/>
      <c r="O68" s="125">
        <v>-150000</v>
      </c>
      <c r="P68" s="125"/>
      <c r="Q68" s="125"/>
      <c r="R68" s="125"/>
    </row>
    <row r="69" spans="1:18" x14ac:dyDescent="0.3">
      <c r="A69" s="127" t="s">
        <v>141</v>
      </c>
      <c r="B69" s="127" t="s">
        <v>96</v>
      </c>
      <c r="C69" s="127" t="s">
        <v>187</v>
      </c>
      <c r="D69" s="127" t="s">
        <v>114</v>
      </c>
      <c r="E69" s="127" t="s">
        <v>110</v>
      </c>
      <c r="F69" s="127" t="s">
        <v>188</v>
      </c>
      <c r="G69" s="127" t="s">
        <v>189</v>
      </c>
      <c r="H69" s="127" t="s">
        <v>190</v>
      </c>
      <c r="I69" s="127">
        <v>650000</v>
      </c>
      <c r="J69" s="127"/>
      <c r="K69" s="127"/>
      <c r="L69" s="127"/>
      <c r="M69" s="127"/>
      <c r="N69" s="127"/>
      <c r="O69" s="127">
        <v>650000</v>
      </c>
      <c r="P69" s="127"/>
      <c r="Q69" s="127"/>
      <c r="R69" s="127"/>
    </row>
    <row r="70" spans="1:18" x14ac:dyDescent="0.3">
      <c r="A70" s="24" t="s">
        <v>141</v>
      </c>
      <c r="B70" s="24" t="s">
        <v>97</v>
      </c>
      <c r="C70" s="24" t="s">
        <v>212</v>
      </c>
      <c r="D70" s="24" t="s">
        <v>110</v>
      </c>
      <c r="E70" s="24" t="s">
        <v>118</v>
      </c>
      <c r="F70" s="24" t="s">
        <v>163</v>
      </c>
      <c r="G70" s="24" t="s">
        <v>213</v>
      </c>
      <c r="H70" s="24" t="s">
        <v>171</v>
      </c>
      <c r="I70" s="24">
        <v>-25000</v>
      </c>
      <c r="M70" s="24">
        <v>-25000</v>
      </c>
    </row>
    <row r="71" spans="1:18" x14ac:dyDescent="0.3">
      <c r="A71" s="24" t="s">
        <v>141</v>
      </c>
      <c r="B71" s="24" t="s">
        <v>97</v>
      </c>
      <c r="C71" s="24" t="s">
        <v>212</v>
      </c>
      <c r="D71" s="24" t="s">
        <v>110</v>
      </c>
      <c r="E71" s="24" t="s">
        <v>118</v>
      </c>
      <c r="F71" s="24" t="s">
        <v>163</v>
      </c>
      <c r="G71" s="24" t="s">
        <v>213</v>
      </c>
      <c r="H71" s="24" t="s">
        <v>214</v>
      </c>
      <c r="I71" s="24">
        <v>-25000</v>
      </c>
      <c r="N71" s="24">
        <v>-25000</v>
      </c>
    </row>
    <row r="72" spans="1:18" x14ac:dyDescent="0.3">
      <c r="A72" s="24" t="s">
        <v>141</v>
      </c>
      <c r="B72" s="24" t="s">
        <v>97</v>
      </c>
      <c r="C72" s="24" t="s">
        <v>215</v>
      </c>
      <c r="D72" s="24" t="s">
        <v>110</v>
      </c>
      <c r="E72" s="24" t="s">
        <v>118</v>
      </c>
      <c r="F72" s="24" t="s">
        <v>163</v>
      </c>
      <c r="G72" s="24" t="s">
        <v>203</v>
      </c>
      <c r="H72" s="24" t="s">
        <v>157</v>
      </c>
      <c r="I72" s="24">
        <v>-34000</v>
      </c>
      <c r="O72" s="24">
        <v>-34000</v>
      </c>
    </row>
    <row r="73" spans="1:18" x14ac:dyDescent="0.3">
      <c r="A73" s="24" t="s">
        <v>141</v>
      </c>
      <c r="B73" s="24" t="s">
        <v>97</v>
      </c>
      <c r="C73" s="24" t="s">
        <v>215</v>
      </c>
      <c r="D73" s="24" t="s">
        <v>110</v>
      </c>
      <c r="E73" s="24" t="s">
        <v>118</v>
      </c>
      <c r="F73" s="24" t="s">
        <v>163</v>
      </c>
      <c r="G73" s="24" t="s">
        <v>216</v>
      </c>
      <c r="H73" s="24" t="s">
        <v>157</v>
      </c>
      <c r="I73" s="24">
        <v>-274788.05</v>
      </c>
      <c r="L73" s="24">
        <v>-274788.05</v>
      </c>
    </row>
    <row r="74" spans="1:18" x14ac:dyDescent="0.3">
      <c r="A74" s="24" t="s">
        <v>141</v>
      </c>
      <c r="B74" s="24" t="s">
        <v>97</v>
      </c>
      <c r="C74" s="24" t="s">
        <v>217</v>
      </c>
      <c r="D74" s="24" t="s">
        <v>110</v>
      </c>
      <c r="E74" s="24" t="s">
        <v>118</v>
      </c>
      <c r="F74" s="24" t="s">
        <v>163</v>
      </c>
      <c r="G74" s="24" t="s">
        <v>211</v>
      </c>
      <c r="H74" s="24" t="s">
        <v>157</v>
      </c>
      <c r="I74" s="24">
        <v>-570835.57999999996</v>
      </c>
      <c r="O74" s="24">
        <v>-570835.57999999996</v>
      </c>
    </row>
    <row r="75" spans="1:18" x14ac:dyDescent="0.3">
      <c r="A75" s="24" t="s">
        <v>141</v>
      </c>
      <c r="B75" s="24" t="s">
        <v>98</v>
      </c>
      <c r="C75" s="24" t="s">
        <v>155</v>
      </c>
      <c r="D75" s="24" t="s">
        <v>118</v>
      </c>
      <c r="E75" s="24" t="s">
        <v>110</v>
      </c>
      <c r="F75" s="24" t="s">
        <v>141</v>
      </c>
      <c r="G75" s="24" t="s">
        <v>156</v>
      </c>
      <c r="H75" s="24" t="s">
        <v>157</v>
      </c>
      <c r="I75" s="24">
        <v>70000</v>
      </c>
      <c r="O75" s="24">
        <v>70000</v>
      </c>
    </row>
    <row r="76" spans="1:18" x14ac:dyDescent="0.3">
      <c r="A76" s="135" t="s">
        <v>141</v>
      </c>
      <c r="B76" s="135" t="s">
        <v>98</v>
      </c>
      <c r="C76" s="135" t="s">
        <v>170</v>
      </c>
      <c r="D76" s="135" t="s">
        <v>118</v>
      </c>
      <c r="E76" s="135" t="s">
        <v>110</v>
      </c>
      <c r="F76" s="135" t="s">
        <v>141</v>
      </c>
      <c r="G76" s="135"/>
      <c r="H76" s="135" t="s">
        <v>171</v>
      </c>
      <c r="I76" s="135">
        <v>25090.12</v>
      </c>
      <c r="J76" s="135"/>
      <c r="K76" s="135"/>
      <c r="L76" s="135"/>
      <c r="M76" s="135">
        <v>25090.12</v>
      </c>
      <c r="N76" s="135"/>
      <c r="O76" s="135"/>
      <c r="P76" s="135"/>
      <c r="Q76" s="135"/>
      <c r="R76" s="135"/>
    </row>
    <row r="77" spans="1:18" x14ac:dyDescent="0.3">
      <c r="A77" s="135" t="s">
        <v>141</v>
      </c>
      <c r="B77" s="135" t="s">
        <v>98</v>
      </c>
      <c r="C77" s="135" t="s">
        <v>170</v>
      </c>
      <c r="D77" s="135" t="s">
        <v>118</v>
      </c>
      <c r="E77" s="135" t="s">
        <v>110</v>
      </c>
      <c r="F77" s="135" t="s">
        <v>141</v>
      </c>
      <c r="G77" s="135"/>
      <c r="H77" s="135" t="s">
        <v>157</v>
      </c>
      <c r="I77" s="135">
        <v>31935.71</v>
      </c>
      <c r="J77" s="135"/>
      <c r="K77" s="135"/>
      <c r="L77" s="135"/>
      <c r="M77" s="135"/>
      <c r="N77" s="135"/>
      <c r="O77" s="135">
        <v>31935.71</v>
      </c>
      <c r="P77" s="135"/>
      <c r="Q77" s="135"/>
      <c r="R77" s="135"/>
    </row>
    <row r="78" spans="1:18" x14ac:dyDescent="0.3">
      <c r="A78" s="135" t="s">
        <v>141</v>
      </c>
      <c r="B78" s="135" t="s">
        <v>98</v>
      </c>
      <c r="C78" s="135" t="s">
        <v>172</v>
      </c>
      <c r="D78" s="135" t="s">
        <v>118</v>
      </c>
      <c r="E78" s="135" t="s">
        <v>110</v>
      </c>
      <c r="F78" s="135" t="s">
        <v>141</v>
      </c>
      <c r="G78" s="135"/>
      <c r="H78" s="135" t="s">
        <v>173</v>
      </c>
      <c r="I78" s="135">
        <v>593000</v>
      </c>
      <c r="J78" s="135"/>
      <c r="K78" s="135"/>
      <c r="L78" s="135">
        <v>593000</v>
      </c>
      <c r="M78" s="135"/>
      <c r="N78" s="135"/>
      <c r="O78" s="135"/>
      <c r="P78" s="135"/>
      <c r="Q78" s="135"/>
      <c r="R78" s="135"/>
    </row>
    <row r="79" spans="1:18" x14ac:dyDescent="0.3">
      <c r="A79" s="154" t="s">
        <v>141</v>
      </c>
      <c r="B79" s="154" t="s">
        <v>99</v>
      </c>
      <c r="C79" s="154" t="s">
        <v>139</v>
      </c>
      <c r="D79" s="154" t="s">
        <v>110</v>
      </c>
      <c r="E79" s="154" t="s">
        <v>140</v>
      </c>
      <c r="F79" s="154" t="s">
        <v>141</v>
      </c>
      <c r="G79" s="154"/>
      <c r="H79" s="154" t="s">
        <v>142</v>
      </c>
      <c r="I79" s="154">
        <v>-137000</v>
      </c>
      <c r="J79" s="154"/>
      <c r="K79" s="154"/>
      <c r="L79" s="154">
        <v>-137000</v>
      </c>
      <c r="M79" s="154"/>
      <c r="N79" s="154"/>
      <c r="O79" s="154"/>
      <c r="P79" s="154"/>
      <c r="Q79" s="154"/>
      <c r="R79" s="154"/>
    </row>
    <row r="80" spans="1:18" x14ac:dyDescent="0.3">
      <c r="A80" s="24" t="s">
        <v>141</v>
      </c>
      <c r="B80" s="24" t="s">
        <v>52</v>
      </c>
      <c r="C80" s="24" t="s">
        <v>152</v>
      </c>
      <c r="D80" s="24" t="s">
        <v>110</v>
      </c>
      <c r="E80" s="24" t="s">
        <v>118</v>
      </c>
      <c r="F80" s="24" t="s">
        <v>123</v>
      </c>
      <c r="G80" s="24" t="s">
        <v>153</v>
      </c>
      <c r="H80" s="24" t="s">
        <v>154</v>
      </c>
      <c r="I80" s="24">
        <v>-230000</v>
      </c>
      <c r="L80" s="24">
        <v>-230000</v>
      </c>
    </row>
    <row r="81" spans="1:18" x14ac:dyDescent="0.3">
      <c r="A81" s="24" t="s">
        <v>141</v>
      </c>
      <c r="B81" s="24" t="s">
        <v>52</v>
      </c>
      <c r="C81" s="24" t="s">
        <v>210</v>
      </c>
      <c r="D81" s="24" t="s">
        <v>110</v>
      </c>
      <c r="E81" s="24" t="s">
        <v>118</v>
      </c>
      <c r="F81" s="24" t="s">
        <v>123</v>
      </c>
      <c r="G81" s="24" t="s">
        <v>211</v>
      </c>
      <c r="H81" s="24" t="s">
        <v>148</v>
      </c>
      <c r="I81" s="24">
        <v>-50000</v>
      </c>
      <c r="O81" s="24">
        <v>-50000</v>
      </c>
    </row>
    <row r="82" spans="1:18" x14ac:dyDescent="0.3">
      <c r="A82" s="24" t="s">
        <v>141</v>
      </c>
      <c r="B82" s="24" t="s">
        <v>52</v>
      </c>
      <c r="C82" s="24" t="s">
        <v>195</v>
      </c>
      <c r="D82" s="24" t="s">
        <v>110</v>
      </c>
      <c r="E82" s="24" t="s">
        <v>114</v>
      </c>
      <c r="F82" s="24" t="s">
        <v>123</v>
      </c>
      <c r="G82" s="24" t="s">
        <v>196</v>
      </c>
      <c r="H82" s="24" t="s">
        <v>197</v>
      </c>
      <c r="I82" s="24">
        <v>-45000</v>
      </c>
      <c r="L82" s="24">
        <v>-45000</v>
      </c>
    </row>
    <row r="83" spans="1:18" x14ac:dyDescent="0.3">
      <c r="A83" s="24" t="s">
        <v>163</v>
      </c>
      <c r="B83" s="24" t="s">
        <v>98</v>
      </c>
      <c r="C83" s="24" t="s">
        <v>212</v>
      </c>
      <c r="D83" s="24" t="s">
        <v>118</v>
      </c>
      <c r="E83" s="24" t="s">
        <v>110</v>
      </c>
      <c r="F83" s="24" t="s">
        <v>163</v>
      </c>
      <c r="G83" s="24" t="s">
        <v>213</v>
      </c>
      <c r="H83" s="24" t="s">
        <v>171</v>
      </c>
      <c r="I83" s="24">
        <v>25000</v>
      </c>
      <c r="M83" s="24">
        <v>25000</v>
      </c>
    </row>
    <row r="84" spans="1:18" x14ac:dyDescent="0.3">
      <c r="A84" s="24" t="s">
        <v>163</v>
      </c>
      <c r="B84" s="24" t="s">
        <v>98</v>
      </c>
      <c r="C84" s="24" t="s">
        <v>212</v>
      </c>
      <c r="D84" s="24" t="s">
        <v>118</v>
      </c>
      <c r="E84" s="24" t="s">
        <v>110</v>
      </c>
      <c r="F84" s="24" t="s">
        <v>163</v>
      </c>
      <c r="G84" s="24" t="s">
        <v>213</v>
      </c>
      <c r="H84" s="24" t="s">
        <v>214</v>
      </c>
      <c r="I84" s="24">
        <v>25000</v>
      </c>
      <c r="N84" s="24">
        <v>25000</v>
      </c>
    </row>
    <row r="85" spans="1:18" x14ac:dyDescent="0.3">
      <c r="A85" s="24" t="s">
        <v>163</v>
      </c>
      <c r="B85" s="24" t="s">
        <v>98</v>
      </c>
      <c r="C85" s="24" t="s">
        <v>215</v>
      </c>
      <c r="D85" s="24" t="s">
        <v>118</v>
      </c>
      <c r="E85" s="24" t="s">
        <v>110</v>
      </c>
      <c r="F85" s="24" t="s">
        <v>163</v>
      </c>
      <c r="G85" s="24" t="s">
        <v>203</v>
      </c>
      <c r="H85" s="24" t="s">
        <v>157</v>
      </c>
      <c r="I85" s="24">
        <v>34000</v>
      </c>
      <c r="O85" s="24">
        <v>34000</v>
      </c>
    </row>
    <row r="86" spans="1:18" x14ac:dyDescent="0.3">
      <c r="A86" s="24" t="s">
        <v>163</v>
      </c>
      <c r="B86" s="24" t="s">
        <v>98</v>
      </c>
      <c r="C86" s="24" t="s">
        <v>215</v>
      </c>
      <c r="D86" s="24" t="s">
        <v>118</v>
      </c>
      <c r="E86" s="24" t="s">
        <v>110</v>
      </c>
      <c r="F86" s="24" t="s">
        <v>163</v>
      </c>
      <c r="G86" s="24" t="s">
        <v>216</v>
      </c>
      <c r="H86" s="24" t="s">
        <v>157</v>
      </c>
      <c r="I86" s="24">
        <v>274788.05</v>
      </c>
      <c r="L86" s="24">
        <v>274788.05</v>
      </c>
    </row>
    <row r="87" spans="1:18" x14ac:dyDescent="0.3">
      <c r="A87" s="24" t="s">
        <v>163</v>
      </c>
      <c r="B87" s="24" t="s">
        <v>98</v>
      </c>
      <c r="C87" s="24" t="s">
        <v>217</v>
      </c>
      <c r="D87" s="24" t="s">
        <v>118</v>
      </c>
      <c r="E87" s="24" t="s">
        <v>110</v>
      </c>
      <c r="F87" s="24" t="s">
        <v>163</v>
      </c>
      <c r="G87" s="24" t="s">
        <v>211</v>
      </c>
      <c r="H87" s="24" t="s">
        <v>157</v>
      </c>
      <c r="I87" s="24">
        <v>570835.57999999996</v>
      </c>
      <c r="O87" s="24">
        <v>570835.57999999996</v>
      </c>
    </row>
    <row r="88" spans="1:18" x14ac:dyDescent="0.3">
      <c r="A88" s="24" t="s">
        <v>163</v>
      </c>
      <c r="B88" s="24" t="s">
        <v>52</v>
      </c>
      <c r="C88" s="24" t="s">
        <v>164</v>
      </c>
      <c r="D88" s="24" t="s">
        <v>110</v>
      </c>
      <c r="E88" s="24" t="s">
        <v>118</v>
      </c>
      <c r="F88" s="24" t="s">
        <v>123</v>
      </c>
      <c r="G88" s="24" t="s">
        <v>158</v>
      </c>
      <c r="H88" s="24" t="s">
        <v>148</v>
      </c>
      <c r="I88" s="24">
        <v>-633000</v>
      </c>
      <c r="O88" s="24">
        <v>-633000</v>
      </c>
    </row>
    <row r="89" spans="1:18" x14ac:dyDescent="0.3">
      <c r="A89" s="24" t="s">
        <v>188</v>
      </c>
      <c r="B89" s="24" t="s">
        <v>99</v>
      </c>
      <c r="C89" s="24" t="s">
        <v>187</v>
      </c>
      <c r="D89" s="24" t="s">
        <v>110</v>
      </c>
      <c r="E89" s="24" t="s">
        <v>114</v>
      </c>
      <c r="F89" s="24" t="s">
        <v>188</v>
      </c>
      <c r="G89" s="24" t="s">
        <v>189</v>
      </c>
      <c r="H89" s="24" t="s">
        <v>190</v>
      </c>
      <c r="I89" s="24">
        <v>-650000</v>
      </c>
      <c r="O89" s="24">
        <v>-650000</v>
      </c>
    </row>
    <row r="90" spans="1:18" x14ac:dyDescent="0.3">
      <c r="A90" s="81"/>
      <c r="B90" s="81"/>
      <c r="C90" s="81"/>
      <c r="D90" s="81"/>
      <c r="E90" s="81"/>
      <c r="F90" s="81"/>
      <c r="G90" s="81"/>
      <c r="H90" s="81"/>
      <c r="I90" s="81"/>
      <c r="J90" s="81"/>
      <c r="K90" s="81"/>
      <c r="L90" s="81"/>
      <c r="M90" s="81"/>
      <c r="N90" s="81"/>
      <c r="O90" s="81"/>
      <c r="P90" s="81"/>
      <c r="Q90" s="81"/>
      <c r="R90" s="81"/>
    </row>
    <row r="91" spans="1:18" x14ac:dyDescent="0.3">
      <c r="A91" s="81"/>
      <c r="B91" s="81"/>
      <c r="C91" s="81"/>
      <c r="D91" s="81"/>
      <c r="E91" s="81"/>
      <c r="F91" s="81"/>
      <c r="G91" s="81"/>
      <c r="H91" s="81"/>
      <c r="I91" s="81"/>
      <c r="J91" s="81"/>
      <c r="K91" s="81"/>
      <c r="L91" s="81"/>
      <c r="M91" s="81"/>
      <c r="N91" s="81"/>
      <c r="O91" s="81"/>
      <c r="P91" s="81"/>
      <c r="Q91" s="81"/>
      <c r="R91" s="81"/>
    </row>
    <row r="92" spans="1:18" x14ac:dyDescent="0.3">
      <c r="A92" s="81"/>
      <c r="B92" s="81"/>
      <c r="C92" s="81"/>
      <c r="D92" s="81"/>
      <c r="E92" s="81"/>
      <c r="F92" s="81"/>
      <c r="G92" s="81"/>
      <c r="H92" s="81"/>
      <c r="I92" s="81"/>
      <c r="J92" s="81"/>
      <c r="K92" s="81"/>
      <c r="L92" s="81"/>
      <c r="M92" s="81"/>
      <c r="N92" s="81"/>
      <c r="O92" s="81"/>
      <c r="P92" s="81"/>
      <c r="Q92" s="81"/>
      <c r="R92" s="81"/>
    </row>
  </sheetData>
  <mergeCells count="5">
    <mergeCell ref="A1:F1"/>
    <mergeCell ref="A3:F3"/>
    <mergeCell ref="A9:G9"/>
    <mergeCell ref="A51:G51"/>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topLeftCell="A13" zoomScaleNormal="100" workbookViewId="0">
      <selection activeCell="B17" sqref="B17:E18"/>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75" t="s">
        <v>14</v>
      </c>
      <c r="C1" s="175"/>
      <c r="D1" s="175"/>
      <c r="E1" s="175"/>
    </row>
    <row r="2" spans="1:5" ht="81.75" customHeight="1" x14ac:dyDescent="0.35">
      <c r="A2" s="1">
        <v>1</v>
      </c>
      <c r="B2" s="174" t="s">
        <v>16</v>
      </c>
      <c r="C2" s="174"/>
      <c r="D2" s="174"/>
      <c r="E2" s="174"/>
    </row>
    <row r="3" spans="1:5" x14ac:dyDescent="0.35">
      <c r="B3" s="3"/>
      <c r="C3" s="3"/>
      <c r="D3" s="3"/>
      <c r="E3" s="3"/>
    </row>
    <row r="4" spans="1:5" ht="33" customHeight="1" x14ac:dyDescent="0.35">
      <c r="A4" s="1">
        <v>2</v>
      </c>
      <c r="B4" s="174" t="s">
        <v>17</v>
      </c>
      <c r="C4" s="174"/>
      <c r="D4" s="174"/>
      <c r="E4" s="174"/>
    </row>
    <row r="5" spans="1:5" x14ac:dyDescent="0.35">
      <c r="B5" s="3"/>
      <c r="C5" s="3"/>
      <c r="D5" s="3"/>
      <c r="E5" s="3"/>
    </row>
    <row r="6" spans="1:5" s="16" customFormat="1" ht="114" customHeight="1" x14ac:dyDescent="0.35">
      <c r="A6" s="17">
        <v>3</v>
      </c>
      <c r="B6" s="179" t="s">
        <v>74</v>
      </c>
      <c r="C6" s="179"/>
      <c r="D6" s="179"/>
      <c r="E6" s="179"/>
    </row>
    <row r="7" spans="1:5" s="16" customFormat="1" x14ac:dyDescent="0.3">
      <c r="A7" s="17"/>
      <c r="B7" s="18"/>
      <c r="C7" s="18"/>
      <c r="D7" s="18"/>
      <c r="E7" s="18"/>
    </row>
    <row r="8" spans="1:5" ht="18" customHeight="1" x14ac:dyDescent="0.3">
      <c r="A8" s="1">
        <v>4</v>
      </c>
      <c r="B8" s="178" t="s">
        <v>65</v>
      </c>
      <c r="C8" s="178"/>
      <c r="D8" s="8"/>
      <c r="E8" s="8"/>
    </row>
    <row r="9" spans="1:5" ht="18" customHeight="1" x14ac:dyDescent="0.3">
      <c r="B9" s="177" t="s">
        <v>177</v>
      </c>
      <c r="C9" s="177"/>
      <c r="D9" s="12">
        <v>125000</v>
      </c>
    </row>
    <row r="10" spans="1:5" ht="18" customHeight="1" x14ac:dyDescent="0.3">
      <c r="B10" s="174" t="s">
        <v>180</v>
      </c>
      <c r="C10" s="174"/>
      <c r="D10" s="11">
        <v>-31250</v>
      </c>
    </row>
    <row r="11" spans="1:5" ht="18" customHeight="1" x14ac:dyDescent="0.3">
      <c r="B11" s="177" t="s">
        <v>181</v>
      </c>
      <c r="C11" s="177"/>
      <c r="D11" s="13">
        <f>+D9+D10</f>
        <v>93750</v>
      </c>
    </row>
    <row r="12" spans="1:5" ht="31.5" customHeight="1" x14ac:dyDescent="0.3">
      <c r="B12" s="174" t="s">
        <v>178</v>
      </c>
      <c r="C12" s="174"/>
      <c r="D12" s="10">
        <v>31250</v>
      </c>
    </row>
    <row r="13" spans="1:5" ht="36.75" customHeight="1" x14ac:dyDescent="0.3">
      <c r="B13" s="177" t="s">
        <v>179</v>
      </c>
      <c r="C13" s="177"/>
      <c r="D13" s="14">
        <f>SUM(D11:D12)</f>
        <v>125000</v>
      </c>
    </row>
    <row r="14" spans="1:5" s="16" customFormat="1" ht="18" customHeight="1" x14ac:dyDescent="0.3">
      <c r="A14" s="17"/>
      <c r="B14" s="21"/>
      <c r="C14" s="21"/>
      <c r="D14" s="22"/>
    </row>
    <row r="15" spans="1:5" s="16" customFormat="1" ht="84.75" customHeight="1" x14ac:dyDescent="0.3">
      <c r="A15" s="1">
        <v>5</v>
      </c>
      <c r="B15" s="176" t="s">
        <v>66</v>
      </c>
      <c r="C15" s="176"/>
      <c r="D15" s="176"/>
      <c r="E15" s="176"/>
    </row>
    <row r="16" spans="1:5" x14ac:dyDescent="0.3">
      <c r="B16" s="3"/>
      <c r="C16" s="3"/>
      <c r="D16" s="3"/>
      <c r="E16" s="3"/>
    </row>
    <row r="17" spans="1:5" ht="14.4" customHeight="1" x14ac:dyDescent="0.3">
      <c r="A17" s="1">
        <v>6</v>
      </c>
      <c r="B17" s="174" t="s">
        <v>186</v>
      </c>
      <c r="C17" s="174"/>
      <c r="D17" s="174"/>
      <c r="E17" s="174"/>
    </row>
    <row r="18" spans="1:5" x14ac:dyDescent="0.3">
      <c r="B18" s="174"/>
      <c r="C18" s="174"/>
      <c r="D18" s="174"/>
      <c r="E18" s="174"/>
    </row>
    <row r="19" spans="1:5" s="16" customFormat="1" x14ac:dyDescent="0.3">
      <c r="A19" s="17"/>
      <c r="B19" s="128"/>
      <c r="C19" s="128"/>
      <c r="D19" s="128"/>
      <c r="E19" s="128"/>
    </row>
    <row r="20" spans="1:5" ht="33" customHeight="1" x14ac:dyDescent="0.3">
      <c r="A20" s="1">
        <v>7</v>
      </c>
      <c r="B20" s="174" t="s">
        <v>38</v>
      </c>
      <c r="C20" s="174"/>
      <c r="D20" s="174"/>
      <c r="E20" s="174"/>
    </row>
    <row r="21" spans="1:5" ht="14.25" customHeight="1" x14ac:dyDescent="0.3">
      <c r="B21" s="7"/>
      <c r="C21" s="7"/>
      <c r="D21" s="7"/>
      <c r="E21" s="7"/>
    </row>
    <row r="22" spans="1:5" ht="47.25" customHeight="1" x14ac:dyDescent="0.3">
      <c r="A22" s="1">
        <v>8</v>
      </c>
      <c r="B22" s="174" t="s">
        <v>39</v>
      </c>
      <c r="C22" s="174"/>
      <c r="D22" s="174"/>
      <c r="E22" s="174"/>
    </row>
    <row r="23" spans="1:5" ht="15" customHeight="1" x14ac:dyDescent="0.3">
      <c r="B23" s="7"/>
      <c r="C23" s="7"/>
      <c r="D23" s="7"/>
      <c r="E23" s="7"/>
    </row>
    <row r="24" spans="1:5" ht="32.25" customHeight="1" x14ac:dyDescent="0.3">
      <c r="A24" s="1">
        <v>9</v>
      </c>
      <c r="B24" s="174" t="s">
        <v>37</v>
      </c>
      <c r="C24" s="174"/>
      <c r="D24" s="174"/>
      <c r="E24" s="174"/>
    </row>
    <row r="25" spans="1:5" ht="15" customHeight="1" x14ac:dyDescent="0.3">
      <c r="B25" s="7"/>
      <c r="C25" s="7"/>
      <c r="D25" s="7"/>
      <c r="E25" s="7"/>
    </row>
    <row r="26" spans="1:5" ht="33" customHeight="1" x14ac:dyDescent="0.3">
      <c r="A26" s="1">
        <v>10</v>
      </c>
      <c r="B26" s="174" t="s">
        <v>40</v>
      </c>
      <c r="C26" s="174"/>
      <c r="D26" s="174"/>
      <c r="E26" s="174"/>
    </row>
    <row r="27" spans="1:5" x14ac:dyDescent="0.3">
      <c r="B27" s="3"/>
      <c r="C27" s="3"/>
      <c r="D27" s="3"/>
      <c r="E27" s="3"/>
    </row>
    <row r="28" spans="1:5" ht="30" customHeight="1" x14ac:dyDescent="0.3">
      <c r="A28" s="1">
        <v>11</v>
      </c>
      <c r="B28" s="174" t="s">
        <v>41</v>
      </c>
      <c r="C28" s="174"/>
      <c r="D28" s="174"/>
      <c r="E28" s="174"/>
    </row>
    <row r="29" spans="1:5" x14ac:dyDescent="0.3">
      <c r="B29" s="3"/>
      <c r="C29" s="3"/>
      <c r="D29" s="3"/>
      <c r="E29" s="3"/>
    </row>
    <row r="30" spans="1:5" ht="31.5" customHeight="1" x14ac:dyDescent="0.3">
      <c r="A30" s="1">
        <v>12</v>
      </c>
      <c r="B30" s="174" t="s">
        <v>42</v>
      </c>
      <c r="C30" s="174"/>
      <c r="D30" s="174"/>
      <c r="E30" s="174"/>
    </row>
    <row r="31" spans="1:5" x14ac:dyDescent="0.3">
      <c r="B31" s="7"/>
      <c r="C31" s="7"/>
      <c r="D31" s="7"/>
      <c r="E31" s="7"/>
    </row>
    <row r="32" spans="1:5" ht="34.5" customHeight="1" x14ac:dyDescent="0.3">
      <c r="A32" s="1">
        <v>13</v>
      </c>
      <c r="B32" s="174" t="s">
        <v>18</v>
      </c>
      <c r="C32" s="174"/>
      <c r="D32" s="174"/>
      <c r="E32" s="174"/>
    </row>
    <row r="33" spans="1:5" ht="16.5" customHeight="1" x14ac:dyDescent="0.3">
      <c r="B33" s="3"/>
      <c r="C33" s="3"/>
      <c r="D33" s="3"/>
      <c r="E33" s="3"/>
    </row>
    <row r="34" spans="1:5" ht="64.5" customHeight="1" x14ac:dyDescent="0.3">
      <c r="A34" s="1">
        <v>14</v>
      </c>
      <c r="B34" s="174" t="s">
        <v>19</v>
      </c>
      <c r="C34" s="174"/>
      <c r="D34" s="174"/>
      <c r="E34" s="174"/>
    </row>
    <row r="35" spans="1:5" ht="14.25" customHeight="1" x14ac:dyDescent="0.3">
      <c r="B35" s="3"/>
      <c r="C35" s="3"/>
      <c r="D35" s="3"/>
      <c r="E35" s="3"/>
    </row>
    <row r="36" spans="1:5" x14ac:dyDescent="0.3">
      <c r="A36" s="1">
        <v>15</v>
      </c>
      <c r="B36" s="178" t="s">
        <v>34</v>
      </c>
      <c r="C36" s="178"/>
      <c r="D36" s="178"/>
      <c r="E36" s="178"/>
    </row>
    <row r="37" spans="1:5" x14ac:dyDescent="0.3">
      <c r="B37" s="15" t="s">
        <v>7</v>
      </c>
      <c r="C37" s="172" t="s">
        <v>20</v>
      </c>
      <c r="D37" s="172"/>
      <c r="E37" s="172"/>
    </row>
    <row r="38" spans="1:5" x14ac:dyDescent="0.3">
      <c r="B38" s="5" t="s">
        <v>21</v>
      </c>
      <c r="C38" s="173" t="s">
        <v>28</v>
      </c>
      <c r="D38" s="173"/>
      <c r="E38" s="173"/>
    </row>
    <row r="39" spans="1:5" x14ac:dyDescent="0.3">
      <c r="B39" s="15" t="s">
        <v>22</v>
      </c>
      <c r="C39" s="172" t="s">
        <v>29</v>
      </c>
      <c r="D39" s="172"/>
      <c r="E39" s="172"/>
    </row>
    <row r="40" spans="1:5" x14ac:dyDescent="0.3">
      <c r="B40" s="5" t="s">
        <v>23</v>
      </c>
      <c r="C40" s="173" t="s">
        <v>32</v>
      </c>
      <c r="D40" s="173"/>
      <c r="E40" s="173"/>
    </row>
    <row r="41" spans="1:5" x14ac:dyDescent="0.3">
      <c r="B41" s="15" t="s">
        <v>9</v>
      </c>
      <c r="C41" s="172" t="s">
        <v>30</v>
      </c>
      <c r="D41" s="172"/>
      <c r="E41" s="172"/>
    </row>
    <row r="42" spans="1:5" x14ac:dyDescent="0.3">
      <c r="B42" s="5" t="s">
        <v>8</v>
      </c>
      <c r="C42" s="173" t="s">
        <v>24</v>
      </c>
      <c r="D42" s="173"/>
      <c r="E42" s="173"/>
    </row>
    <row r="43" spans="1:5" x14ac:dyDescent="0.3">
      <c r="B43" s="15" t="s">
        <v>25</v>
      </c>
      <c r="C43" s="172" t="s">
        <v>26</v>
      </c>
      <c r="D43" s="172"/>
      <c r="E43" s="172"/>
    </row>
    <row r="44" spans="1:5" x14ac:dyDescent="0.3">
      <c r="B44" s="5" t="s">
        <v>27</v>
      </c>
      <c r="C44" s="173" t="s">
        <v>31</v>
      </c>
      <c r="D44" s="173"/>
      <c r="E44" s="173"/>
    </row>
    <row r="45" spans="1:5" s="16" customFormat="1" x14ac:dyDescent="0.3">
      <c r="A45" s="17"/>
      <c r="B45" s="19"/>
      <c r="C45" s="20"/>
      <c r="D45" s="20"/>
      <c r="E45" s="20"/>
    </row>
    <row r="46" spans="1:5" s="16" customFormat="1" x14ac:dyDescent="0.3">
      <c r="A46" s="17">
        <v>16</v>
      </c>
      <c r="B46" s="23" t="s">
        <v>75</v>
      </c>
      <c r="C46" s="20"/>
      <c r="D46" s="20"/>
      <c r="E46" s="20"/>
    </row>
    <row r="47" spans="1:5" s="16" customFormat="1" ht="30" customHeight="1" x14ac:dyDescent="0.3">
      <c r="A47" s="17"/>
      <c r="B47" s="15" t="s">
        <v>56</v>
      </c>
      <c r="C47" s="172" t="s">
        <v>77</v>
      </c>
      <c r="D47" s="172"/>
      <c r="E47" s="172"/>
    </row>
    <row r="48" spans="1:5" s="16" customFormat="1" x14ac:dyDescent="0.3">
      <c r="A48" s="17"/>
      <c r="B48" s="19" t="s">
        <v>57</v>
      </c>
      <c r="C48" s="173" t="s">
        <v>76</v>
      </c>
      <c r="D48" s="173"/>
      <c r="E48" s="173"/>
    </row>
    <row r="49" spans="1:5" s="16" customFormat="1" ht="48.75" customHeight="1" x14ac:dyDescent="0.3">
      <c r="A49" s="17"/>
      <c r="B49" s="15" t="s">
        <v>58</v>
      </c>
      <c r="C49" s="172" t="s">
        <v>79</v>
      </c>
      <c r="D49" s="172"/>
      <c r="E49" s="172"/>
    </row>
    <row r="50" spans="1:5" s="16" customFormat="1" ht="29.25" customHeight="1" x14ac:dyDescent="0.3">
      <c r="A50" s="17"/>
      <c r="B50" s="19" t="s">
        <v>59</v>
      </c>
      <c r="C50" s="173" t="s">
        <v>78</v>
      </c>
      <c r="D50" s="173"/>
      <c r="E50" s="173"/>
    </row>
    <row r="51" spans="1:5" x14ac:dyDescent="0.3">
      <c r="B51" s="5"/>
      <c r="C51" s="6"/>
      <c r="D51" s="6"/>
      <c r="E51" s="6"/>
    </row>
    <row r="52" spans="1:5" ht="94.5" customHeight="1" x14ac:dyDescent="0.3">
      <c r="A52" s="1">
        <v>17</v>
      </c>
      <c r="B52" s="181" t="s">
        <v>33</v>
      </c>
      <c r="C52" s="181"/>
      <c r="D52" s="181"/>
      <c r="E52" s="181"/>
    </row>
    <row r="54" spans="1:5" x14ac:dyDescent="0.3">
      <c r="B54" s="2"/>
    </row>
    <row r="55" spans="1:5" x14ac:dyDescent="0.3">
      <c r="A55" s="180" t="s">
        <v>35</v>
      </c>
      <c r="B55" s="180"/>
      <c r="C55" s="180"/>
      <c r="D55" s="180"/>
      <c r="E55" s="180"/>
    </row>
  </sheetData>
  <mergeCells count="35">
    <mergeCell ref="B26:E26"/>
    <mergeCell ref="B28:E28"/>
    <mergeCell ref="B6:E6"/>
    <mergeCell ref="A55:E55"/>
    <mergeCell ref="B20:E20"/>
    <mergeCell ref="B52:E52"/>
    <mergeCell ref="B36:E36"/>
    <mergeCell ref="C37:E37"/>
    <mergeCell ref="C38:E38"/>
    <mergeCell ref="C39:E39"/>
    <mergeCell ref="C40:E40"/>
    <mergeCell ref="C41:E41"/>
    <mergeCell ref="C42:E42"/>
    <mergeCell ref="C43:E43"/>
    <mergeCell ref="C44:E44"/>
    <mergeCell ref="B22:E22"/>
    <mergeCell ref="B24:E24"/>
    <mergeCell ref="B1:E1"/>
    <mergeCell ref="B2:E2"/>
    <mergeCell ref="B4:E4"/>
    <mergeCell ref="B15:E15"/>
    <mergeCell ref="B10:C10"/>
    <mergeCell ref="B11:C11"/>
    <mergeCell ref="B13:C13"/>
    <mergeCell ref="B12:C12"/>
    <mergeCell ref="B8:C8"/>
    <mergeCell ref="B9:C9"/>
    <mergeCell ref="B17:E18"/>
    <mergeCell ref="C47:E47"/>
    <mergeCell ref="C48:E48"/>
    <mergeCell ref="C50:E50"/>
    <mergeCell ref="C49:E49"/>
    <mergeCell ref="B30:E30"/>
    <mergeCell ref="B32:E32"/>
    <mergeCell ref="B34:E34"/>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2014-07-07T20:31:46Z</cp:lastPrinted>
  <dcterms:created xsi:type="dcterms:W3CDTF">2013-05-11T20:19:37Z</dcterms:created>
  <dcterms:modified xsi:type="dcterms:W3CDTF">2017-09-24T16:52:26Z</dcterms:modified>
</cp:coreProperties>
</file>