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4788"/>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Transactions'!$A$1:$T$33</definedName>
    <definedName name="Query_from_MS_Access_Database" localSheetId="0" hidden="1">'Federal Funds Transactions'!$A$15:$Q$24</definedName>
    <definedName name="Query_from_MS_Access_Database" localSheetId="1" hidden="1">'Regional Loans and Transfers'!$A$11:$R$26</definedName>
    <definedName name="Query_from_MS_Access_Database_1" localSheetId="0" hidden="1">'Federal Funds Transactions'!$A$29:$Q$30</definedName>
    <definedName name="Query_from_MS_Access_Database_1" localSheetId="1" hidden="1">'Regional Loans and Transfers'!$A$29:$R$44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S38" i="1" l="1"/>
  <c r="F30" i="1"/>
  <c r="R30" i="1"/>
  <c r="S30" i="1" s="1"/>
  <c r="S16" i="1"/>
  <c r="S17" i="1"/>
  <c r="S18" i="1" s="1"/>
  <c r="S19" i="1" s="1"/>
  <c r="S20" i="1" s="1"/>
  <c r="S21" i="1" s="1"/>
  <c r="S22" i="1" s="1"/>
  <c r="S23" i="1" s="1"/>
  <c r="S24" i="1" s="1"/>
  <c r="F16" i="1"/>
  <c r="F17" i="1"/>
  <c r="F18" i="1"/>
  <c r="F19" i="1"/>
  <c r="F20" i="1"/>
  <c r="F21" i="1"/>
  <c r="F22" i="1"/>
  <c r="F23" i="1"/>
  <c r="F24" i="1"/>
  <c r="R16" i="1"/>
  <c r="R17" i="1"/>
  <c r="R18" i="1"/>
  <c r="R19" i="1"/>
  <c r="R20" i="1"/>
  <c r="R21" i="1"/>
  <c r="R22" i="1"/>
  <c r="R23" i="1"/>
  <c r="R24" i="1"/>
  <c r="Q5" i="1" l="1"/>
  <c r="S11" i="1" l="1"/>
  <c r="Q11" i="1"/>
  <c r="P11" i="1"/>
  <c r="O11" i="1"/>
  <c r="N11" i="1"/>
  <c r="S10" i="1"/>
  <c r="Q10" i="1"/>
  <c r="P10" i="1"/>
  <c r="O10" i="1"/>
  <c r="N10" i="1"/>
  <c r="S9" i="1"/>
  <c r="Q9" i="1"/>
  <c r="P9" i="1"/>
  <c r="O9" i="1"/>
  <c r="N9" i="1"/>
  <c r="S8" i="1"/>
  <c r="Q8" i="1"/>
  <c r="P8" i="1"/>
  <c r="O8" i="1"/>
  <c r="N8" i="1"/>
  <c r="S7" i="1"/>
  <c r="Q7" i="1"/>
  <c r="P7" i="1"/>
  <c r="O7" i="1"/>
  <c r="N7" i="1"/>
  <c r="S6" i="1"/>
  <c r="Q6" i="1"/>
  <c r="P6" i="1"/>
  <c r="O6" i="1"/>
  <c r="N6" i="1"/>
  <c r="P5" i="1" l="1"/>
  <c r="D13" i="2"/>
  <c r="D11" i="2"/>
  <c r="S39" i="1"/>
  <c r="Q39" i="1"/>
  <c r="P39" i="1"/>
  <c r="O39" i="1"/>
  <c r="N39" i="1"/>
  <c r="R4" i="1"/>
  <c r="O31" i="1"/>
  <c r="P31" i="1"/>
  <c r="Q31" i="1"/>
  <c r="R31" i="1"/>
  <c r="N31" i="1"/>
  <c r="O25" i="1"/>
  <c r="P25" i="1"/>
  <c r="Q25" i="1"/>
  <c r="N25" i="1"/>
  <c r="R25" i="1"/>
  <c r="A7" i="3"/>
  <c r="B5" i="3"/>
  <c r="A1" i="3"/>
  <c r="O12" i="1" l="1"/>
  <c r="O26" i="1" s="1"/>
  <c r="O32" i="1" s="1"/>
  <c r="O38" i="1" s="1"/>
  <c r="O41" i="1" s="1"/>
  <c r="R5" i="1"/>
  <c r="S5" i="1" s="1"/>
  <c r="Q12" i="1"/>
  <c r="Q26" i="1" s="1"/>
  <c r="Q32" i="1" s="1"/>
  <c r="Q38" i="1" s="1"/>
  <c r="Q40" i="1" s="1"/>
  <c r="P12" i="1"/>
  <c r="P26" i="1" s="1"/>
  <c r="P32" i="1" s="1"/>
  <c r="P38" i="1" s="1"/>
  <c r="P40" i="1" s="1"/>
  <c r="N12" i="1"/>
  <c r="R8" i="1"/>
  <c r="R10" i="1"/>
  <c r="R7" i="1"/>
  <c r="R9" i="1"/>
  <c r="R11" i="1"/>
  <c r="R39" i="1"/>
  <c r="R6" i="1"/>
  <c r="S12" i="1" l="1"/>
  <c r="R12" i="1"/>
  <c r="R26" i="1" s="1"/>
  <c r="R32" i="1" s="1"/>
  <c r="N26" i="1"/>
  <c r="N32" i="1" s="1"/>
  <c r="N38" i="1" s="1"/>
  <c r="N41" i="1" s="1"/>
  <c r="O40" i="1"/>
  <c r="S40" i="1" l="1"/>
  <c r="R38" i="1"/>
  <c r="N40" i="1"/>
  <c r="R40"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lt;&gt;'Trick') AND (`11-LHMPO LEDGER`.`Finance Authorization`&gt;=#10/1/2015# AND `11-LHMPO LEDGER`.`Finance Authorization`&lt;=#9/30/2016#)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CMAQ, `11-LHCqryLedgerApportsCrosstab`.`CMAQ 2_5`, `11-LHCqryLedgerApportsCrosstab`.HSIP, `11-LHCqryLedgerApportsCrosstab`.PL, `11-LHCqryLedgerApportsCrosstab`.SPR, `11-LHCqryLedgerApportsCrosstab`.`STP other`, `11-LHCqryLedgerApportsCrosstab`.`STP over 200K`, `11-LHCqryLedgerApportsCrosstab`.`TA other`, `11-LHCqryLedgerApportsCrosstab`.`TA over 200K`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CMAQ, `11-LHCqryLedgerOACrosstab`.`CMAQ 2_5`, `11-LHCqryLedgerOACrosstab`.HSIP, `11-LHCqryLedgerOACrosstab`.PL, `11-LHCqryLedgerOACrosstab`.SPR, `11-LHCqryLedgerOACrosstab`.`STP other`, `11-LHCqryLedgerOACrosstab`.`STP over 200K`, `11-LHCqryLedgerOACrosstab`.`TA other`, `11-LHCqryLedgerOACrosstab`.`TA over 200K`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SIP, `11-LHMPO LEDGER`.PL, `11-LHMPO LEDGER`.SPR, `11-LHMPO LEDGER`.`STP OTHER`_x000d__x000a_FROM `G:\FMS\RESOURCE\ACCESS\010614 PBPF\011614 PBPF front.accdb`.`11-LHMPO LEDGER` `11-LHMPO LEDGER`_x000d__x000a_WHERE (`11-LHMPO LEDGER`.`ADOT#` Not Like 'Trick') AND (`11-LHMPO LEDGER`.`Finance Authorization` Is Null) AND ((`11-LHMPO LEDGER`.`PB Expected`&gt;=#10/1/2015# and `PB Expected`&lt;=#9/30/2016#) OR (`11-LHMPO LEDGER`.`PB Received`&gt;=#10/1/2015# and `PB Received`&lt;=#9/30/2016#) OR (`11-LHMPO LEDGER`.`PF Transmitted`&gt;=#10/1/2015# and `PF Transmitted`&lt;=#9/30/2016#))_x000d__x000a_ORDER BY `11-LHMPO LEDGER`.`ADOT#`"/>
  </connection>
</connections>
</file>

<file path=xl/sharedStrings.xml><?xml version="1.0" encoding="utf-8"?>
<sst xmlns="http://schemas.openxmlformats.org/spreadsheetml/2006/main" count="446" uniqueCount="183">
  <si>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</si>
  <si>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</si>
  <si>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</si>
  <si>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</si>
  <si>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</si>
  <si>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</si>
  <si>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</si>
  <si>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</si>
  <si>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</si>
  <si>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</si>
  <si>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</si>
  <si>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</si>
  <si>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</si>
  <si>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</si>
  <si>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</si>
  <si>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</si>
  <si>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</si>
  <si>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</si>
  <si>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</si>
  <si>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</si>
  <si>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</si>
  <si>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</si>
  <si>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</si>
  <si>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</si>
  <si>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</si>
  <si>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</si>
  <si>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</si>
  <si>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</si>
  <si>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</si>
  <si>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</si>
  <si>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</si>
  <si>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</si>
  <si>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</si>
  <si>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</si>
  <si>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</si>
  <si>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</si>
  <si>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</si>
  <si>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</si>
  <si>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</si>
  <si>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</si>
  <si>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</si>
  <si>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</si>
  <si>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</si>
  <si>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</si>
  <si>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</si>
  <si>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</si>
  <si>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</si>
  <si>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</si>
  <si>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</si>
  <si>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</si>
  <si>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</si>
  <si>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</si>
  <si>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</si>
  <si>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</si>
  <si>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</si>
  <si>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</si>
  <si>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</si>
  <si>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</si>
  <si>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</si>
  <si>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</si>
  <si>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</si>
  <si>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</si>
  <si>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</si>
  <si>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</si>
  <si>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</si>
  <si>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</si>
  <si>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</si>
  <si>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</si>
  <si>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</si>
  <si>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</si>
  <si>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</si>
  <si>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</si>
  <si>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</si>
  <si>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</si>
  <si>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</si>
  <si>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</si>
  <si>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</si>
  <si>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</si>
  <si>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</si>
  <si>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</si>
  <si>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</si>
  <si>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</si>
  <si>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</si>
  <si>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</si>
  <si>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</si>
  <si>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</si>
  <si>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</si>
  <si>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</si>
  <si>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</si>
  <si>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</si>
  <si>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</si>
  <si>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</si>
  <si>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</si>
  <si>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</si>
  <si>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</si>
  <si>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</si>
  <si>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Loan Out</t>
  </si>
  <si>
    <t>Repayment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</si>
  <si>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</si>
  <si>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</si>
  <si>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</si>
  <si>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</si>
  <si>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</si>
  <si>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</si>
  <si>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</si>
  <si>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</si>
  <si>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</si>
  <si>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Lake Havasu Metropolitan Planning Organization</t>
  </si>
  <si>
    <r>
      <rPr>
        <b/>
        <sz val="11"/>
        <color rgb="FFFF0000"/>
        <rFont val="Arial Unicode MS"/>
        <family val="2"/>
      </rPr>
      <t>DRAFT</t>
    </r>
    <r>
      <rPr>
        <sz val="11"/>
        <color theme="1"/>
        <rFont val="Arial Unicode MS"/>
        <family val="2"/>
      </rPr>
      <t xml:space="preserve"> Data as of:</t>
    </r>
  </si>
  <si>
    <t>2014</t>
  </si>
  <si>
    <t>LHMPO1402</t>
  </si>
  <si>
    <t>LHMPO</t>
  </si>
  <si>
    <t>WACOG</t>
  </si>
  <si>
    <t>2019</t>
  </si>
  <si>
    <t>LHMPO LOAN TO WACOG FY 14</t>
  </si>
  <si>
    <t>LHMPO1401</t>
  </si>
  <si>
    <t>HSIP TRANSFER FROM LHMPO TO WACOG</t>
  </si>
  <si>
    <t>2015</t>
  </si>
  <si>
    <t>LHMPO LOAN TO WACOG FY 15</t>
  </si>
  <si>
    <t>2016</t>
  </si>
  <si>
    <t>LHMPO LOAN TO WACOG FY 16</t>
  </si>
  <si>
    <t>2017</t>
  </si>
  <si>
    <t>LHMPO LOAN TO WACOG FY 17</t>
  </si>
  <si>
    <t>2018</t>
  </si>
  <si>
    <t>2020</t>
  </si>
  <si>
    <t>LHMPO LOAN TO WACOG FY 18</t>
  </si>
  <si>
    <t>LHMPO LOAN TO WACOG FY 19</t>
  </si>
  <si>
    <t>LHMPO LOAN TO WACOG FY 20</t>
  </si>
  <si>
    <t>ADOT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</si>
  <si>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</si>
  <si>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</si>
  <si>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</si>
  <si>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LHMPO-LP01</t>
  </si>
  <si>
    <t>None</t>
  </si>
  <si>
    <t>LHMPO LAPSING FUNDS - FFY14</t>
  </si>
  <si>
    <t>LHMPO-15L1</t>
  </si>
  <si>
    <t>LHMPO HSIP Loan to WACOG</t>
  </si>
  <si>
    <t>Federal Fiscal Year 2016</t>
  </si>
  <si>
    <t>State FY 16 Approved work program amount</t>
  </si>
  <si>
    <t>State FY 16 amount authorized prior to 09/30/15 or Lapsed funding</t>
  </si>
  <si>
    <t xml:space="preserve">State FY 16 amount available for authorization 10/01/15 - 06/30/16 </t>
  </si>
  <si>
    <t>State FY 17 amount avaiilable for authorization 07/1/16 - 09/30/16 (request must be submitted by 09/01/16)</t>
  </si>
  <si>
    <t>Total SPR apportionments for Federal Fiscal Year 16 (as shown on ledger)</t>
  </si>
  <si>
    <t>Planned Lapsing - 06/30/16</t>
  </si>
  <si>
    <t>Lapsed - 07/01/16</t>
  </si>
  <si>
    <t>Planned Lapsing - 09/30/16</t>
  </si>
  <si>
    <t>Carry Forward to FFY 17</t>
  </si>
  <si>
    <t>PL50122P</t>
  </si>
  <si>
    <t>000</t>
  </si>
  <si>
    <t>T</t>
  </si>
  <si>
    <t>188</t>
  </si>
  <si>
    <t>Q</t>
  </si>
  <si>
    <t>LHMPO 2017 WP - SPR</t>
  </si>
  <si>
    <t>LHMPO 2016 WP - PL</t>
  </si>
  <si>
    <t>SH65001C</t>
  </si>
  <si>
    <t>LHM 16-102D</t>
  </si>
  <si>
    <t>LAKE HAVASU CITY</t>
  </si>
  <si>
    <t>SIGN UPGRADE (SAFETY IMPROVEMENTS)</t>
  </si>
  <si>
    <t>LHV</t>
  </si>
  <si>
    <t>0</t>
  </si>
  <si>
    <t>209</t>
  </si>
  <si>
    <t>PS50122P</t>
  </si>
  <si>
    <t>The  OA to apportionments for FFY 16 is 94.9%.  The rate for calculations is 0.949331239483705.</t>
  </si>
  <si>
    <t>LHMPO 2016 WP</t>
  </si>
  <si>
    <t>LHMPO16-T001</t>
  </si>
  <si>
    <t>SR95/Kiowa</t>
  </si>
  <si>
    <t>LHMPO HSIP Transfer to ADOT</t>
  </si>
  <si>
    <t>PL50121P</t>
  </si>
  <si>
    <t>LAKE HAVASU MPO FY 2015</t>
  </si>
  <si>
    <t>186</t>
  </si>
  <si>
    <t>SR 95 AT KIOWA BLVD - RIGHT TURN LANES RAISED MED</t>
  </si>
  <si>
    <t>095</t>
  </si>
  <si>
    <t>C</t>
  </si>
  <si>
    <t>220</t>
  </si>
  <si>
    <t>F002901D</t>
  </si>
  <si>
    <t>8211</t>
  </si>
  <si>
    <t>LHMPOADOT-16L1</t>
  </si>
  <si>
    <t>2017/2018</t>
  </si>
  <si>
    <t>LHMPO HSIP Loan to ADOT</t>
  </si>
  <si>
    <t>PLH1701P</t>
  </si>
  <si>
    <t>LHM</t>
  </si>
  <si>
    <t>S</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</si>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</sst>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9D9D9"/>
        <bgColor indexed="64"/>
      </patternFill>
    </fill>
    <fill>
      <patternFill patternType="solid">
        <fgColor rgb="FFD9D9D9"/>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9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3" fillId="0" borderId="0" xfId="0" applyNumberFormat="1" applyFont="1" applyBorder="1" applyAlignment="1">
      <alignment horizontal="right"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3" fillId="0" borderId="0" xfId="0" applyNumberFormat="1" applyFont="1" applyBorder="1" applyAlignment="1">
      <alignment vertical="top" wrapText="1"/>
    </xf>
    <xf numFmtId="40" fontId="29" fillId="5" borderId="6" xfId="0" applyNumberFormat="1" applyFont="1" applyFill="1" applyBorder="1" applyAlignment="1">
      <alignment horizontal="center" vertical="center" wrapText="1"/>
    </xf>
    <xf numFmtId="43" fontId="0" fillId="0" borderId="2" xfId="3" applyFont="1" applyBorder="1"/>
    <xf numFmtId="14" fontId="27" fillId="0" borderId="0" xfId="0" applyNumberFormat="1" applyFont="1" applyAlignment="1">
      <alignment horizontal="right" vertical="top" wrapText="1"/>
    </xf>
    <xf numFmtId="14" fontId="20" fillId="0" borderId="0" xfId="0" applyNumberFormat="1" applyFont="1" applyAlignment="1">
      <alignment horizontal="right" vertical="top" wrapText="1"/>
    </xf>
    <xf numFmtId="40" fontId="18" fillId="0" borderId="0" xfId="0" applyNumberFormat="1" applyFont="1" applyBorder="1" applyAlignment="1">
      <alignment horizontal="center" vertical="top" wrapText="1"/>
    </xf>
    <xf numFmtId="0" fontId="24" fillId="0" borderId="0" xfId="0" applyFont="1" applyBorder="1" applyAlignment="1">
      <alignment horizontal="center" vertical="top" wrapText="1"/>
    </xf>
    <xf numFmtId="40" fontId="17" fillId="0" borderId="0" xfId="0" applyNumberFormat="1" applyFont="1" applyBorder="1" applyAlignment="1">
      <alignment horizontal="center" vertical="top" wrapText="1"/>
    </xf>
    <xf numFmtId="40" fontId="24" fillId="0" borderId="0" xfId="0" applyNumberFormat="1" applyFont="1" applyBorder="1" applyAlignment="1">
      <alignment horizontal="center" vertical="top" wrapText="1"/>
    </xf>
    <xf numFmtId="0" fontId="20" fillId="0" borderId="0" xfId="0" applyFont="1" applyBorder="1" applyAlignment="1">
      <alignment horizontal="center" vertical="top" wrapText="1"/>
    </xf>
    <xf numFmtId="40" fontId="26" fillId="0" borderId="0" xfId="0" applyNumberFormat="1" applyFont="1" applyBorder="1" applyAlignment="1">
      <alignment horizontal="right" vertical="top"/>
    </xf>
    <xf numFmtId="40" fontId="20" fillId="0" borderId="3" xfId="0" applyNumberFormat="1" applyFont="1" applyBorder="1" applyAlignment="1">
      <alignment horizontal="right" vertical="center"/>
    </xf>
    <xf numFmtId="40" fontId="20" fillId="0" borderId="10" xfId="0" applyNumberFormat="1" applyFont="1" applyBorder="1" applyAlignment="1">
      <alignment horizontal="right" vertical="center"/>
    </xf>
    <xf numFmtId="40" fontId="20" fillId="0" borderId="1" xfId="0" applyNumberFormat="1" applyFont="1" applyBorder="1" applyAlignment="1">
      <alignment horizontal="right" vertical="center"/>
    </xf>
    <xf numFmtId="40" fontId="20" fillId="0" borderId="1" xfId="0" applyNumberFormat="1" applyFont="1" applyFill="1" applyBorder="1" applyAlignment="1">
      <alignment horizontal="right" vertical="center"/>
    </xf>
    <xf numFmtId="40" fontId="20" fillId="0" borderId="4" xfId="0" applyNumberFormat="1" applyFont="1" applyFill="1" applyBorder="1" applyAlignment="1">
      <alignment horizontal="right" vertical="center"/>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1"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20" xfId="0" applyNumberFormat="1" applyFont="1" applyFill="1" applyBorder="1" applyAlignment="1">
      <alignmen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0" fillId="0" borderId="3" xfId="0" applyNumberFormat="1" applyFont="1" applyFill="1" applyBorder="1" applyAlignment="1">
      <alignment vertical="top"/>
    </xf>
    <xf numFmtId="40" fontId="26" fillId="0" borderId="20"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40" fontId="20" fillId="0" borderId="0" xfId="0" applyNumberFormat="1" applyFont="1" applyBorder="1" applyAlignment="1">
      <alignment horizontal="right" vertical="top"/>
    </xf>
    <xf numFmtId="0" fontId="20" fillId="0" borderId="0" xfId="0" applyFont="1" applyBorder="1" applyAlignment="1">
      <alignmen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Fill="1" applyBorder="1" applyAlignment="1">
      <alignment vertical="top"/>
    </xf>
    <xf numFmtId="43" fontId="20" fillId="0" borderId="0" xfId="0" applyNumberFormat="1" applyFont="1" applyBorder="1" applyAlignment="1">
      <alignment vertical="top"/>
    </xf>
    <xf numFmtId="0" fontId="14" fillId="0" borderId="0" xfId="0" applyFont="1" applyAlignment="1">
      <alignment vertical="center"/>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30"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vertical="top" wrapText="1"/>
    </xf>
    <xf numFmtId="14" fontId="24" fillId="2" borderId="0" xfId="0" applyNumberFormat="1" applyFont="1" applyFill="1" applyBorder="1" applyAlignment="1">
      <alignment horizontal="center" vertical="top" wrapText="1"/>
    </xf>
    <xf numFmtId="14" fontId="24" fillId="0" borderId="0" xfId="0" applyNumberFormat="1" applyFont="1" applyBorder="1" applyAlignment="1">
      <alignment horizontal="center"/>
    </xf>
    <xf numFmtId="40" fontId="20" fillId="5" borderId="1" xfId="0" applyNumberFormat="1" applyFont="1" applyFill="1" applyBorder="1" applyAlignment="1">
      <alignment vertical="top"/>
    </xf>
    <xf numFmtId="43" fontId="31" fillId="0" borderId="0" xfId="3" applyFont="1"/>
    <xf numFmtId="40" fontId="27" fillId="0" borderId="0" xfId="0" applyNumberFormat="1" applyFont="1" applyBorder="1" applyAlignment="1">
      <alignment horizontal="center" vertical="top" wrapText="1"/>
    </xf>
    <xf numFmtId="14" fontId="20" fillId="0" borderId="0" xfId="0" applyNumberFormat="1" applyFont="1" applyAlignment="1">
      <alignment vertical="top" wrapText="1"/>
    </xf>
    <xf numFmtId="0" fontId="20" fillId="0" borderId="0" xfId="0" applyFont="1" applyAlignment="1">
      <alignment vertical="top" wrapText="1"/>
    </xf>
    <xf numFmtId="40" fontId="27" fillId="0" borderId="0" xfId="0" applyNumberFormat="1" applyFont="1" applyAlignment="1">
      <alignment horizontal="left" vertical="top" wrapText="1"/>
    </xf>
    <xf numFmtId="40" fontId="27" fillId="0" borderId="0" xfId="0" applyNumberFormat="1" applyFont="1" applyAlignment="1">
      <alignment horizontal="center" vertical="top" wrapText="1"/>
    </xf>
    <xf numFmtId="40" fontId="27" fillId="0" borderId="0" xfId="0" applyNumberFormat="1" applyFont="1" applyAlignment="1">
      <alignment horizontal="right" vertical="top"/>
    </xf>
    <xf numFmtId="40" fontId="20" fillId="0" borderId="0" xfId="0" applyNumberFormat="1" applyFont="1" applyAlignment="1">
      <alignment horizontal="right" vertical="top"/>
    </xf>
    <xf numFmtId="43" fontId="32" fillId="0" borderId="0" xfId="3" applyFont="1"/>
    <xf numFmtId="43" fontId="32" fillId="0" borderId="11" xfId="3" applyFont="1" applyBorder="1"/>
    <xf numFmtId="43" fontId="32" fillId="0" borderId="6" xfId="3" applyFont="1" applyBorder="1"/>
    <xf numFmtId="43" fontId="32" fillId="0" borderId="7" xfId="3" applyFont="1" applyBorder="1"/>
    <xf numFmtId="43" fontId="33" fillId="0" borderId="0" xfId="3" applyFont="1"/>
    <xf numFmtId="43" fontId="33" fillId="0" borderId="10" xfId="3" applyFont="1" applyBorder="1"/>
    <xf numFmtId="43" fontId="33" fillId="0" borderId="11" xfId="3" applyFont="1" applyBorder="1"/>
    <xf numFmtId="43" fontId="33" fillId="0" borderId="1" xfId="3" applyFont="1" applyBorder="1"/>
    <xf numFmtId="43" fontId="33" fillId="0" borderId="6" xfId="3" applyFont="1" applyBorder="1"/>
    <xf numFmtId="43" fontId="33" fillId="0" borderId="2" xfId="3" applyFont="1" applyBorder="1"/>
    <xf numFmtId="43" fontId="33" fillId="0" borderId="7" xfId="3" applyFont="1" applyBorder="1"/>
    <xf numFmtId="14" fontId="34" fillId="0" borderId="0" xfId="0" applyNumberFormat="1" applyFont="1" applyAlignment="1">
      <alignment vertical="top" wrapText="1"/>
    </xf>
    <xf numFmtId="40" fontId="35" fillId="0" borderId="0" xfId="0" applyNumberFormat="1" applyFont="1" applyAlignment="1">
      <alignment horizontal="left" vertical="top" wrapText="1"/>
    </xf>
    <xf numFmtId="40" fontId="35" fillId="0" borderId="0" xfId="0" applyNumberFormat="1" applyFont="1" applyAlignment="1">
      <alignment horizontal="center" vertical="top" wrapText="1"/>
    </xf>
    <xf numFmtId="14" fontId="35" fillId="0" borderId="0" xfId="0" applyNumberFormat="1" applyFont="1" applyAlignment="1">
      <alignment horizontal="right" vertical="top" wrapText="1"/>
    </xf>
    <xf numFmtId="40" fontId="35" fillId="0" borderId="0" xfId="0" applyNumberFormat="1" applyFont="1" applyAlignment="1">
      <alignment horizontal="right" vertical="top"/>
    </xf>
    <xf numFmtId="40" fontId="34"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14" fontId="36" fillId="0" borderId="0" xfId="0" applyNumberFormat="1" applyFont="1" applyAlignment="1">
      <alignment vertical="top" wrapText="1"/>
    </xf>
    <xf numFmtId="40" fontId="37" fillId="0" borderId="0" xfId="0" applyNumberFormat="1" applyFont="1" applyAlignment="1">
      <alignment horizontal="left" vertical="top" wrapText="1"/>
    </xf>
    <xf numFmtId="40" fontId="37" fillId="0" borderId="0" xfId="0" applyNumberFormat="1" applyFont="1" applyAlignment="1">
      <alignment horizontal="center" vertical="top" wrapText="1"/>
    </xf>
    <xf numFmtId="14" fontId="37" fillId="0" borderId="0" xfId="0" applyNumberFormat="1" applyFont="1" applyAlignment="1">
      <alignment horizontal="right" vertical="top" wrapText="1"/>
    </xf>
    <xf numFmtId="40" fontId="37" fillId="0" borderId="0" xfId="0" applyNumberFormat="1" applyFont="1" applyAlignment="1">
      <alignment horizontal="right" vertical="top"/>
    </xf>
    <xf numFmtId="40" fontId="36" fillId="0" borderId="0" xfId="0" applyNumberFormat="1" applyFont="1" applyAlignment="1">
      <alignment horizontal="right" vertical="top"/>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8" formatCode="#,##0.00_);[Red]\(#,##0.00\)"/>
      <alignment horizontal="center"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numFmt numFmtId="164" formatCode="mm/dd/yyyy"/>
      <alignment horizontal="center" vertical="top" textRotation="0" wrapText="1" indent="0" justifyLastLine="0" shrinkToFit="0" readingOrder="0"/>
    </dxf>
    <dxf>
      <font>
        <b val="0"/>
        <i val="0"/>
        <strike val="0"/>
        <condense val="0"/>
        <extend val="0"/>
        <outline val="0"/>
        <shadow val="0"/>
        <u val="none"/>
        <vertAlign val="baseline"/>
        <sz val="10"/>
        <color theme="1"/>
        <name val="Arial Unicode MS"/>
        <scheme val="none"/>
      </font>
      <numFmt numFmtId="164" formatCode="mm/dd/yyyy"/>
      <alignment horizontal="center" vertical="top" textRotation="0" wrapText="1" indent="0" justifyLastLine="0" shrinkToFit="0" readingOrder="0"/>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D9D9D9"/>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D9D9D9"/>
      <color rgb="FFC5D9F1"/>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24" tableType="queryTable" totalsRowShown="0" headerRowDxfId="85" dataDxfId="84" tableBorderDxfId="83">
  <autoFilter ref="A15:S24"/>
  <tableColumns count="19">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17" uniqueName="17" name="FED #" queryTableFieldId="17" dataDxfId="49">
      <calculatedColumnFormula>CONCATENATE(Table_Query_from_MS_Access_Database8[[#This Row],[RTE]],Table_Query_from_MS_Access_Database8[[#This Row],[SEC]],Table_Query_from_MS_Access_Database8[[#This Row],[SEQ]])</calculatedColumnFormula>
    </tableColumn>
    <tableColumn id="6" uniqueName="6" name="RTE" queryTableFieldId="6" dataDxfId="48"/>
    <tableColumn id="7" uniqueName="7" name="SEC" queryTableFieldId="7" dataDxfId="47"/>
    <tableColumn id="8" uniqueName="8" name="SEQ" queryTableFieldId="8" dataDxfId="46"/>
    <tableColumn id="9" uniqueName="9" name="PB Expected" queryTableFieldId="9" dataDxfId="45"/>
    <tableColumn id="10" uniqueName="10" name="PB Received" queryTableFieldId="10" dataDxfId="44"/>
    <tableColumn id="11" uniqueName="11" name="PF Transmitted" queryTableFieldId="11" dataDxfId="43"/>
    <tableColumn id="12" uniqueName="12" name="Finance Authorization" queryTableFieldId="12" dataDxfId="42"/>
    <tableColumn id="13" uniqueName="13" name="HSIP" queryTableFieldId="13" dataDxfId="41"/>
    <tableColumn id="14" uniqueName="14" name="PL" queryTableFieldId="14" dataDxfId="40"/>
    <tableColumn id="15" uniqueName="15" name="SPR" queryTableFieldId="15" dataDxfId="39"/>
    <tableColumn id="16" uniqueName="16" name="STP OTHER" queryTableFieldId="16" dataDxfId="38"/>
    <tableColumn id="18" uniqueName="18" name="TOTAL OF AMOUNT" queryTableFieldId="18" dataDxfId="37">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0">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S30" tableType="queryTable" totalsRowShown="0" headerRowDxfId="82" dataDxfId="81">
  <autoFilter ref="A29:S30"/>
  <tableColumns count="19">
    <tableColumn id="1" uniqueName="1" name="ADOT#" queryTableFieldId="1" dataDxfId="73"/>
    <tableColumn id="2" uniqueName="2" name="TIP#" queryTableFieldId="2" dataDxfId="72"/>
    <tableColumn id="3" uniqueName="3" name="Sponsor" queryTableFieldId="3" dataDxfId="71"/>
    <tableColumn id="4" uniqueName="4" name="Action/15" queryTableFieldId="4" dataDxfId="70"/>
    <tableColumn id="5" uniqueName="5" name="Location" queryTableFieldId="5" dataDxfId="69"/>
    <tableColumn id="17" uniqueName="17" name="FED #" queryTableFieldId="17" dataDxfId="68">
      <calculatedColumnFormula>CONCATENATE(Table_Query_from_MS_Access_Database_1[[#This Row],[RTE]],Table_Query_from_MS_Access_Database_1[[#This Row],[SEC]],Table_Query_from_MS_Access_Database_1[[#This Row],[SEQ]])</calculatedColumnFormula>
    </tableColumn>
    <tableColumn id="6" uniqueName="6" name="RTE" queryTableFieldId="6" dataDxfId="67"/>
    <tableColumn id="7" uniqueName="7" name="SEC" queryTableFieldId="7" dataDxfId="66"/>
    <tableColumn id="8" uniqueName="8" name="SEQ" queryTableFieldId="8" dataDxfId="65"/>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SIP" queryTableFieldId="13" dataDxfId="60"/>
    <tableColumn id="14" uniqueName="14" name="PL" queryTableFieldId="14" dataDxfId="59"/>
    <tableColumn id="15" uniqueName="15" name="SPR" queryTableFieldId="15" dataDxfId="58"/>
    <tableColumn id="16" uniqueName="16" name="STP OTHER" queryTableFieldId="16" dataDxfId="57"/>
    <tableColumn id="18" uniqueName="18" name="TOTAL OF AMOUNT" queryTableFieldId="18" dataDxfId="56">
      <calculatedColumnFormula>+Table_Query_from_MS_Access_Database_1[[#This Row],[HSIP]]+Table_Query_from_MS_Access_Database_1[[#This Row],[PL]]+Table_Query_from_MS_Access_Database_1[[#This Row],[SPR]]+Table_Query_from_MS_Access_Database_1[[#This Row],[STP OTHER]]</calculatedColumnFormula>
    </tableColumn>
    <tableColumn id="19" uniqueName="19" name="EXPECTED DECLINING BALANCE OA" queryTableFieldId="19" dataDxfId="55">
      <calculatedColumnFormula>S24-Table_Query_from_MS_Access_Database_1[TOTAL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6" tableType="queryTable" totalsRowShown="0" headerRowDxfId="80" headerRowBorderDxfId="79" tableBorderDxfId="78" totalsRowBorderDxfId="77" headerRowCellStyle="Comma" dataCellStyle="Comma">
  <autoFilter ref="A11:R26"/>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9:R44" tableType="queryTable" totalsRowShown="0" headerRowDxfId="76" dataDxfId="75" tableBorderDxfId="74" headerRowCellStyle="Comma" dataCellStyle="Comma">
  <autoFilter ref="A29:R44"/>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2"/>
  <sheetViews>
    <sheetView tabSelected="1" zoomScale="90" zoomScaleNormal="90" zoomScaleSheetLayoutView="75"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6" width="12.77734375" style="33" customWidth="1"/>
    <col min="7" max="7" width="9.109375" style="33" hidden="1" customWidth="1"/>
    <col min="8" max="9" width="9.33203125" style="33" hidden="1" customWidth="1"/>
    <col min="10" max="12" width="15.77734375" style="33" customWidth="1"/>
    <col min="13" max="13" width="23.77734375" style="33" customWidth="1"/>
    <col min="14" max="18" width="14.77734375" style="36" customWidth="1"/>
    <col min="19" max="19" width="18.77734375" style="36" customWidth="1"/>
    <col min="20" max="20" width="3.44140625" style="36" bestFit="1" customWidth="1"/>
    <col min="21" max="16384" width="32" style="33"/>
  </cols>
  <sheetData>
    <row r="1" spans="1:20" ht="23.25" customHeight="1" thickBot="1" x14ac:dyDescent="0.35">
      <c r="A1" s="159" t="s">
        <v>107</v>
      </c>
      <c r="B1" s="159"/>
      <c r="C1" s="159"/>
      <c r="D1" s="159"/>
      <c r="E1" s="159"/>
      <c r="F1" s="159"/>
      <c r="J1" s="34"/>
      <c r="K1" s="35"/>
      <c r="L1" s="34"/>
      <c r="M1" s="50"/>
      <c r="N1" s="162" t="s">
        <v>89</v>
      </c>
      <c r="O1" s="162"/>
      <c r="P1" s="162"/>
      <c r="Q1" s="162"/>
      <c r="R1" s="162"/>
      <c r="S1" s="162"/>
      <c r="T1" s="51"/>
    </row>
    <row r="2" spans="1:20" ht="17.25" customHeight="1" thickBot="1" x14ac:dyDescent="0.35">
      <c r="J2" s="34"/>
      <c r="K2" s="34"/>
      <c r="L2" s="34"/>
      <c r="M2" s="50"/>
      <c r="N2" s="167" t="s">
        <v>12</v>
      </c>
      <c r="O2" s="168"/>
      <c r="P2" s="168"/>
      <c r="Q2" s="168"/>
      <c r="R2" s="169"/>
      <c r="S2" s="51"/>
      <c r="T2" s="51"/>
    </row>
    <row r="3" spans="1:20" ht="26.4" x14ac:dyDescent="0.3">
      <c r="A3" s="163" t="s">
        <v>92</v>
      </c>
      <c r="B3" s="163"/>
      <c r="C3" s="163"/>
      <c r="D3" s="163"/>
      <c r="E3" s="38"/>
      <c r="F3" s="38"/>
      <c r="G3" s="38"/>
      <c r="J3" s="34"/>
      <c r="K3" s="34"/>
      <c r="L3" s="34"/>
      <c r="M3" s="68" t="s">
        <v>11</v>
      </c>
      <c r="N3" s="69" t="s">
        <v>70</v>
      </c>
      <c r="O3" s="76" t="s">
        <v>45</v>
      </c>
      <c r="P3" s="70" t="s">
        <v>64</v>
      </c>
      <c r="Q3" s="70" t="s">
        <v>6</v>
      </c>
      <c r="R3" s="71" t="s">
        <v>10</v>
      </c>
      <c r="S3" s="39" t="s">
        <v>15</v>
      </c>
      <c r="T3" s="37"/>
    </row>
    <row r="4" spans="1:20" ht="26.4" x14ac:dyDescent="0.3">
      <c r="A4" s="161" t="s">
        <v>137</v>
      </c>
      <c r="B4" s="161"/>
      <c r="C4" s="161"/>
      <c r="D4" s="161"/>
      <c r="E4" s="40"/>
      <c r="F4" s="40"/>
      <c r="G4" s="40"/>
      <c r="J4" s="34"/>
      <c r="K4" s="34"/>
      <c r="L4" s="34"/>
      <c r="M4" s="123" t="s">
        <v>130</v>
      </c>
      <c r="N4" s="95">
        <v>0</v>
      </c>
      <c r="O4" s="96">
        <v>0</v>
      </c>
      <c r="P4" s="97">
        <v>0</v>
      </c>
      <c r="Q4" s="98">
        <v>0</v>
      </c>
      <c r="R4" s="99">
        <f>SUM(Table1[[#This Row],[HSIP/3]:[STP other]])</f>
        <v>0</v>
      </c>
      <c r="S4" s="95">
        <v>0</v>
      </c>
      <c r="T4" s="37"/>
    </row>
    <row r="5" spans="1:20" ht="26.4" x14ac:dyDescent="0.3">
      <c r="A5" s="122" t="s">
        <v>108</v>
      </c>
      <c r="C5" s="66">
        <v>42643</v>
      </c>
      <c r="J5" s="34"/>
      <c r="K5" s="34"/>
      <c r="L5" s="34"/>
      <c r="M5" s="124" t="s">
        <v>129</v>
      </c>
      <c r="N5" s="100">
        <v>519767.43211718404</v>
      </c>
      <c r="O5" s="101">
        <v>116548.12</v>
      </c>
      <c r="P5" s="102">
        <f>Notes!D13</f>
        <v>125000</v>
      </c>
      <c r="Q5" s="102">
        <f>289552.952416091+13217.3544082164</f>
        <v>302770.30682430742</v>
      </c>
      <c r="R5" s="103">
        <f>SUM(Table1[[#This Row],[HSIP/3]:[STP other]])</f>
        <v>1064085.8589414915</v>
      </c>
      <c r="S5" s="100">
        <f>ROUND(+Table1[[#This Row],[Total]]*0.949331239483705,0)</f>
        <v>1010170</v>
      </c>
      <c r="T5" s="41" t="s">
        <v>72</v>
      </c>
    </row>
    <row r="6" spans="1:20" x14ac:dyDescent="0.3">
      <c r="J6" s="34"/>
      <c r="K6" s="34"/>
      <c r="L6" s="34"/>
      <c r="M6" s="124" t="s">
        <v>80</v>
      </c>
      <c r="N6" s="104">
        <f>SUMIFS(Table_Query_from_MS_Access_Database[[#All],[HSIP]],Table_Query_from_MS_Access_Database[[#All],[Transaction Year]],"2016",Table_Query_from_MS_Access_Database[[#All],[Transaction Type]],"loan in")</f>
        <v>0</v>
      </c>
      <c r="O6" s="105">
        <f>SUMIFS(Table_Query_from_MS_Access_Database[[#All],[PL]],Table_Query_from_MS_Access_Database[[#All],[Transaction Year]],"2016",Table_Query_from_MS_Access_Database[[#All],[Transaction Type]],"loan in")</f>
        <v>0</v>
      </c>
      <c r="P6" s="105">
        <f>SUMIFS(Table_Query_from_MS_Access_Database[[#All],[SPR]],Table_Query_from_MS_Access_Database[[#All],[Transaction Year]],"2016",Table_Query_from_MS_Access_Database[[#All],[Transaction Type]],"loan in")</f>
        <v>0</v>
      </c>
      <c r="Q6" s="106">
        <f>SUMIFS(Table_Query_from_MS_Access_Database[[#All],[STP other]],Table_Query_from_MS_Access_Database[[#All],[Transaction Year]],"2016",Table_Query_from_MS_Access_Database[[#All],[Transaction Type]],"loan in")</f>
        <v>0</v>
      </c>
      <c r="R6" s="103">
        <f t="shared" ref="R6:R12" si="0">SUM(N6:Q6)</f>
        <v>0</v>
      </c>
      <c r="S6" s="107">
        <f>SUMIFS(Table_Query_from_MS_Access_Database_16[[#All],[Total]],Table_Query_from_MS_Access_Database_16[[#All],[Transaction Year]],"2016",Table_Query_from_MS_Access_Database_16[[#All],[Transaction Type]],"Loan In")</f>
        <v>0</v>
      </c>
      <c r="T6" s="37"/>
    </row>
    <row r="7" spans="1:20" x14ac:dyDescent="0.3">
      <c r="A7" s="43"/>
      <c r="J7" s="34"/>
      <c r="K7" s="34"/>
      <c r="L7" s="34"/>
      <c r="M7" s="124" t="s">
        <v>81</v>
      </c>
      <c r="N7" s="104">
        <f>SUMIFS(Table_Query_from_MS_Access_Database[[#All],[HSIP]],Table_Query_from_MS_Access_Database[[#All],[Transaction Year]],"2016",Table_Query_from_MS_Access_Database[[#All],[Transaction Type]],"loan Out")</f>
        <v>-100256</v>
      </c>
      <c r="O7" s="105">
        <f>SUMIFS(Table_Query_from_MS_Access_Database[[#All],[PL]],Table_Query_from_MS_Access_Database[[#All],[Transaction Year]],"2016",Table_Query_from_MS_Access_Database[[#All],[Transaction Type]],"loan Out")</f>
        <v>0</v>
      </c>
      <c r="P7" s="105">
        <f>SUMIFS(Table_Query_from_MS_Access_Database[[#All],[SPR]],Table_Query_from_MS_Access_Database[[#All],[Transaction Year]],"2016",Table_Query_from_MS_Access_Database[[#All],[Transaction Type]],"loan Out")</f>
        <v>0</v>
      </c>
      <c r="Q7" s="106">
        <f>SUMIFS(Table_Query_from_MS_Access_Database[[#All],[STP other]],Table_Query_from_MS_Access_Database[[#All],[Transaction Year]],"2016",Table_Query_from_MS_Access_Database[[#All],[Transaction Type]],"loan Out")</f>
        <v>0</v>
      </c>
      <c r="R7" s="103">
        <f t="shared" si="0"/>
        <v>-100256</v>
      </c>
      <c r="S7" s="107">
        <f>SUMIFS(Table_Query_from_MS_Access_Database_16[[#All],[Total]],Table_Query_from_MS_Access_Database_16[[#All],[Transaction Year]],"2016",Table_Query_from_MS_Access_Database_16[[#All],[Transaction Type]],"Loan Out")</f>
        <v>-100256</v>
      </c>
      <c r="T7" s="37"/>
    </row>
    <row r="8" spans="1:20" x14ac:dyDescent="0.3">
      <c r="J8" s="34"/>
      <c r="K8" s="34"/>
      <c r="L8" s="34"/>
      <c r="M8" s="123" t="s">
        <v>82</v>
      </c>
      <c r="N8" s="104">
        <f>SUMIFS(Table_Query_from_MS_Access_Database[[#All],[HSIP]],Table_Query_from_MS_Access_Database[[#All],[Transaction Year]],"2016",Table_Query_from_MS_Access_Database[[#All],[Transaction Type]],"repayment in")</f>
        <v>0</v>
      </c>
      <c r="O8" s="105">
        <f>SUMIFS(Table_Query_from_MS_Access_Database[[#All],[PL]],Table_Query_from_MS_Access_Database[[#All],[Transaction Year]],"2016",Table_Query_from_MS_Access_Database[[#All],[Transaction Type]],"repayment in")</f>
        <v>0</v>
      </c>
      <c r="P8" s="105">
        <f>SUMIFS(Table_Query_from_MS_Access_Database[[#All],[SPR]],Table_Query_from_MS_Access_Database[[#All],[Transaction Year]],"2016",Table_Query_from_MS_Access_Database[[#All],[Transaction Type]],"repayment in")</f>
        <v>0</v>
      </c>
      <c r="Q8" s="106">
        <f>SUMIFS(Table_Query_from_MS_Access_Database[[#All],[STP other]],Table_Query_from_MS_Access_Database[[#All],[Transaction Year]],"2016",Table_Query_from_MS_Access_Database[[#All],[Transaction Type]],"repayment in")</f>
        <v>0</v>
      </c>
      <c r="R8" s="103">
        <f t="shared" si="0"/>
        <v>0</v>
      </c>
      <c r="S8" s="107">
        <f>SUMIFS(Table_Query_from_MS_Access_Database_16[[#All],[Total]],Table_Query_from_MS_Access_Database_16[[#All],[Transaction Year]],"2016",Table_Query_from_MS_Access_Database_16[[#All],[Transaction Type]],"repayment In")</f>
        <v>0</v>
      </c>
      <c r="T8" s="37"/>
    </row>
    <row r="9" spans="1:20" x14ac:dyDescent="0.3">
      <c r="A9" s="161" t="s">
        <v>100</v>
      </c>
      <c r="B9" s="161"/>
      <c r="C9" s="161"/>
      <c r="D9" s="161"/>
      <c r="E9" s="161"/>
      <c r="F9" s="161"/>
      <c r="G9" s="161"/>
      <c r="H9" s="161"/>
      <c r="I9" s="161"/>
      <c r="J9" s="161"/>
      <c r="K9" s="161"/>
      <c r="L9" s="161"/>
      <c r="M9" s="124" t="s">
        <v>83</v>
      </c>
      <c r="N9" s="104">
        <f>SUMIFS(Table_Query_from_MS_Access_Database[[#All],[HSIP]],Table_Query_from_MS_Access_Database[[#All],[Transaction Year]],"2016",Table_Query_from_MS_Access_Database[[#All],[Transaction Type]],"repayment Out")</f>
        <v>0</v>
      </c>
      <c r="O9" s="105">
        <f>SUMIFS(Table_Query_from_MS_Access_Database[[#All],[PL]],Table_Query_from_MS_Access_Database[[#All],[Transaction Year]],"2016",Table_Query_from_MS_Access_Database[[#All],[Transaction Type]],"repayment Out")</f>
        <v>0</v>
      </c>
      <c r="P9" s="105">
        <f>SUMIFS(Table_Query_from_MS_Access_Database[[#All],[SPR]],Table_Query_from_MS_Access_Database[[#All],[Transaction Year]],"2016",Table_Query_from_MS_Access_Database[[#All],[Transaction Type]],"repayment Out")</f>
        <v>0</v>
      </c>
      <c r="Q9" s="106">
        <f>SUMIFS(Table_Query_from_MS_Access_Database[[#All],[STP other]],Table_Query_from_MS_Access_Database[[#All],[Transaction Year]],"2016",Table_Query_from_MS_Access_Database[[#All],[Transaction Type]],"repayment Out")</f>
        <v>0</v>
      </c>
      <c r="R9" s="103">
        <f t="shared" si="0"/>
        <v>0</v>
      </c>
      <c r="S9" s="107">
        <f>SUMIFS(Table_Query_from_MS_Access_Database_16[[#All],[Total]],Table_Query_from_MS_Access_Database_16[[#All],[Transaction Year]],"2016",Table_Query_from_MS_Access_Database_16[[#All],[Transaction Type]],"Repayment Out")</f>
        <v>0</v>
      </c>
      <c r="T9" s="37"/>
    </row>
    <row r="10" spans="1:20" x14ac:dyDescent="0.3">
      <c r="J10" s="34"/>
      <c r="K10" s="34"/>
      <c r="L10" s="34"/>
      <c r="M10" s="124" t="s">
        <v>84</v>
      </c>
      <c r="N10" s="104">
        <f>SUMIFS(Table_Query_from_MS_Access_Database[[#All],[HSIP]],Table_Query_from_MS_Access_Database[[#All],[Transaction Year]],"2016",Table_Query_from_MS_Access_Database[[#All],[Transaction Type]],"Transfer in")</f>
        <v>0</v>
      </c>
      <c r="O10" s="105">
        <f>SUMIFS(Table_Query_from_MS_Access_Database[[#All],[PL]],Table_Query_from_MS_Access_Database[[#All],[Transaction Year]],"2016",Table_Query_from_MS_Access_Database[[#All],[Transaction Type]],"Transfer in")</f>
        <v>0</v>
      </c>
      <c r="P10" s="105">
        <f>SUMIFS(Table_Query_from_MS_Access_Database[[#All],[SPR]],Table_Query_from_MS_Access_Database[[#All],[Transaction Year]],"2016",Table_Query_from_MS_Access_Database[[#All],[Transaction Type]],"Transfer in")</f>
        <v>0</v>
      </c>
      <c r="Q10" s="106">
        <f>SUMIFS(Table_Query_from_MS_Access_Database[[#All],[STP other]],Table_Query_from_MS_Access_Database[[#All],[Transaction Year]],"2016",Table_Query_from_MS_Access_Database[[#All],[Transaction Type]],"Transfer in")</f>
        <v>0</v>
      </c>
      <c r="R10" s="103">
        <f t="shared" si="0"/>
        <v>0</v>
      </c>
      <c r="S10" s="107">
        <f>SUMIFS(Table_Query_from_MS_Access_Database_16[[#All],[Total]],Table_Query_from_MS_Access_Database_16[[#All],[Transaction Year]],"2016",Table_Query_from_MS_Access_Database_16[[#All],[Transaction Type]],"Transfer In")</f>
        <v>0</v>
      </c>
      <c r="T10" s="33"/>
    </row>
    <row r="11" spans="1:20" x14ac:dyDescent="0.3">
      <c r="F11" s="44"/>
      <c r="G11" s="44"/>
      <c r="J11" s="34"/>
      <c r="K11" s="34"/>
      <c r="L11" s="34"/>
      <c r="M11" s="124" t="s">
        <v>85</v>
      </c>
      <c r="N11" s="104">
        <f>SUMIFS(Table_Query_from_MS_Access_Database[[#All],[HSIP]],Table_Query_from_MS_Access_Database[[#All],[Transaction Year]],"2016",Table_Query_from_MS_Access_Database[[#All],[Transaction Type]],"Transfer Out")</f>
        <v>0</v>
      </c>
      <c r="O11" s="105">
        <f>SUMIFS(Table_Query_from_MS_Access_Database[[#All],[PL]],Table_Query_from_MS_Access_Database[[#All],[Transaction Year]],"2016",Table_Query_from_MS_Access_Database[[#All],[Transaction Type]],"Transfer Out")</f>
        <v>0</v>
      </c>
      <c r="P11" s="105">
        <f>SUMIFS(Table_Query_from_MS_Access_Database[[#All],[SPR]],Table_Query_from_MS_Access_Database[[#All],[Transaction Year]],"2016",Table_Query_from_MS_Access_Database[[#All],[Transaction Type]],"Transfer Out")</f>
        <v>0</v>
      </c>
      <c r="Q11" s="106">
        <f>SUMIFS(Table_Query_from_MS_Access_Database[[#All],[STP other]],Table_Query_from_MS_Access_Database[[#All],[Transaction Year]],"2016",Table_Query_from_MS_Access_Database[[#All],[Transaction Type]],"Transfer Out")</f>
        <v>-302770</v>
      </c>
      <c r="R11" s="103">
        <f t="shared" si="0"/>
        <v>-302770</v>
      </c>
      <c r="S11" s="107">
        <f>SUMIFS(Table_Query_from_MS_Access_Database_16[[#All],[Total]],Table_Query_from_MS_Access_Database_16[[#All],[Transaction Year]],"2016",Table_Query_from_MS_Access_Database_16[[#All],[Transaction Type]],"Transfer Out")</f>
        <v>-289145</v>
      </c>
      <c r="T11" s="42"/>
    </row>
    <row r="12" spans="1:20" ht="26.4" x14ac:dyDescent="0.3">
      <c r="J12" s="34"/>
      <c r="K12" s="34"/>
      <c r="L12" s="34"/>
      <c r="M12" s="125" t="s">
        <v>101</v>
      </c>
      <c r="N12" s="108">
        <f>SUM(N4:N11)</f>
        <v>419511.43211718404</v>
      </c>
      <c r="O12" s="109">
        <f>SUM(O4:O11)</f>
        <v>116548.12</v>
      </c>
      <c r="P12" s="109">
        <f>SUM(P4:P11)</f>
        <v>125000</v>
      </c>
      <c r="Q12" s="110">
        <f>SUM(Q4:Q11)</f>
        <v>0.30682430742308497</v>
      </c>
      <c r="R12" s="111">
        <f t="shared" si="0"/>
        <v>661059.85894149146</v>
      </c>
      <c r="S12" s="112">
        <f>SUM(S4:S11)</f>
        <v>620769</v>
      </c>
      <c r="T12" s="42"/>
    </row>
    <row r="13" spans="1:20" x14ac:dyDescent="0.3">
      <c r="J13" s="34"/>
      <c r="K13" s="34"/>
      <c r="L13" s="34"/>
      <c r="M13" s="34"/>
      <c r="N13" s="45"/>
      <c r="O13" s="46"/>
      <c r="P13" s="46"/>
      <c r="Q13" s="46"/>
      <c r="R13" s="46"/>
      <c r="S13" s="46"/>
      <c r="T13" s="42"/>
    </row>
    <row r="14" spans="1:20" ht="15.75" customHeight="1" x14ac:dyDescent="0.3">
      <c r="A14" s="160" t="s">
        <v>71</v>
      </c>
      <c r="B14" s="160"/>
      <c r="C14" s="160"/>
      <c r="D14" s="160"/>
      <c r="J14" s="164" t="s">
        <v>73</v>
      </c>
      <c r="K14" s="165"/>
      <c r="L14" s="165"/>
      <c r="M14" s="166"/>
      <c r="N14" s="47"/>
      <c r="R14" s="48"/>
      <c r="S14" s="48"/>
      <c r="T14" s="48"/>
    </row>
    <row r="15" spans="1:20" s="53" customFormat="1" ht="30" x14ac:dyDescent="0.35">
      <c r="A15" s="129" t="s">
        <v>1</v>
      </c>
      <c r="B15" s="129" t="s">
        <v>0</v>
      </c>
      <c r="C15" s="129" t="s">
        <v>3</v>
      </c>
      <c r="D15" s="129" t="s">
        <v>95</v>
      </c>
      <c r="E15" s="129" t="s">
        <v>2</v>
      </c>
      <c r="F15" s="129" t="s">
        <v>61</v>
      </c>
      <c r="G15" s="129" t="s">
        <v>53</v>
      </c>
      <c r="H15" s="129" t="s">
        <v>54</v>
      </c>
      <c r="I15" s="129" t="s">
        <v>55</v>
      </c>
      <c r="J15" s="129" t="s">
        <v>56</v>
      </c>
      <c r="K15" s="129" t="s">
        <v>57</v>
      </c>
      <c r="L15" s="129" t="s">
        <v>58</v>
      </c>
      <c r="M15" s="129" t="s">
        <v>59</v>
      </c>
      <c r="N15" s="92" t="s">
        <v>4</v>
      </c>
      <c r="O15" s="92" t="s">
        <v>45</v>
      </c>
      <c r="P15" s="92" t="s">
        <v>5</v>
      </c>
      <c r="Q15" s="92" t="s">
        <v>60</v>
      </c>
      <c r="R15" s="92" t="s">
        <v>98</v>
      </c>
      <c r="S15" s="130" t="s">
        <v>106</v>
      </c>
      <c r="T15" s="131"/>
    </row>
    <row r="16" spans="1:20" s="52" customFormat="1" ht="26.4" x14ac:dyDescent="0.3">
      <c r="A16" s="52" t="s">
        <v>154</v>
      </c>
      <c r="B16" s="52" t="s">
        <v>155</v>
      </c>
      <c r="C16" s="52" t="s">
        <v>156</v>
      </c>
      <c r="D16" s="52" t="s">
        <v>7</v>
      </c>
      <c r="E16" s="77" t="s">
        <v>157</v>
      </c>
      <c r="F16" s="134" t="str">
        <f>CONCATENATE(Table_Query_from_MS_Access_Database8[[#This Row],[RTE]],Table_Query_from_MS_Access_Database8[[#This Row],[SEC]],Table_Query_from_MS_Access_Database8[[#This Row],[SEQ]])</f>
        <v>LHV0209</v>
      </c>
      <c r="G16" s="77" t="s">
        <v>158</v>
      </c>
      <c r="H16" s="77" t="s">
        <v>159</v>
      </c>
      <c r="I16" s="77" t="s">
        <v>160</v>
      </c>
      <c r="J16" s="87">
        <v>42388</v>
      </c>
      <c r="K16" s="87">
        <v>42346</v>
      </c>
      <c r="L16" s="87">
        <v>42349</v>
      </c>
      <c r="M16" s="87">
        <v>42360</v>
      </c>
      <c r="N16" s="115">
        <v>169409</v>
      </c>
      <c r="O16" s="116"/>
      <c r="P16" s="116"/>
      <c r="Q16" s="116"/>
      <c r="R16" s="116">
        <f>+Table_Query_from_MS_Access_Database8[[#This Row],[HSIP]]+Table_Query_from_MS_Access_Database8[[#This Row],[PL]]+Table_Query_from_MS_Access_Database8[[#This Row],[SPR]]+Table_Query_from_MS_Access_Database8[[#This Row],[STP OTHER]]</f>
        <v>169409</v>
      </c>
      <c r="S16" s="116">
        <f>S12-Table_Query_from_MS_Access_Database8[TOTAL OF AMOUNT]</f>
        <v>451360</v>
      </c>
      <c r="T16" s="78"/>
    </row>
    <row r="17" spans="1:20" s="52" customFormat="1" ht="13.2" x14ac:dyDescent="0.3">
      <c r="A17" s="135" t="s">
        <v>161</v>
      </c>
      <c r="B17" s="135"/>
      <c r="C17" s="135" t="s">
        <v>111</v>
      </c>
      <c r="D17" s="135" t="s">
        <v>8</v>
      </c>
      <c r="E17" s="137" t="s">
        <v>163</v>
      </c>
      <c r="F17" s="138" t="str">
        <f>CONCATENATE(Table_Query_from_MS_Access_Database8[[#This Row],[RTE]],Table_Query_from_MS_Access_Database8[[#This Row],[SEC]],Table_Query_from_MS_Access_Database8[[#This Row],[SEQ]])</f>
        <v>000Q188</v>
      </c>
      <c r="G17" s="137" t="s">
        <v>148</v>
      </c>
      <c r="H17" s="137" t="s">
        <v>151</v>
      </c>
      <c r="I17" s="137" t="s">
        <v>150</v>
      </c>
      <c r="J17" s="87"/>
      <c r="K17" s="87">
        <v>42347</v>
      </c>
      <c r="L17" s="87">
        <v>42348</v>
      </c>
      <c r="M17" s="87">
        <v>42373</v>
      </c>
      <c r="N17" s="139"/>
      <c r="O17" s="140"/>
      <c r="P17" s="140">
        <v>93750</v>
      </c>
      <c r="Q17" s="140"/>
      <c r="R17" s="140">
        <f>+Table_Query_from_MS_Access_Database8[[#This Row],[HSIP]]+Table_Query_from_MS_Access_Database8[[#This Row],[PL]]+Table_Query_from_MS_Access_Database8[[#This Row],[SPR]]+Table_Query_from_MS_Access_Database8[[#This Row],[STP OTHER]]</f>
        <v>93750</v>
      </c>
      <c r="S17" s="140">
        <f>S16-Table_Query_from_MS_Access_Database8[TOTAL OF AMOUNT]</f>
        <v>357610</v>
      </c>
      <c r="T17" s="78"/>
    </row>
    <row r="18" spans="1:20" s="52" customFormat="1" ht="13.2" x14ac:dyDescent="0.3">
      <c r="A18" s="136" t="s">
        <v>147</v>
      </c>
      <c r="B18" s="136"/>
      <c r="C18" s="136" t="s">
        <v>111</v>
      </c>
      <c r="D18" s="136" t="s">
        <v>7</v>
      </c>
      <c r="E18" s="137" t="s">
        <v>153</v>
      </c>
      <c r="F18" s="138" t="str">
        <f>CONCATENATE(Table_Query_from_MS_Access_Database8[[#This Row],[RTE]],Table_Query_from_MS_Access_Database8[[#This Row],[SEC]],Table_Query_from_MS_Access_Database8[[#This Row],[SEQ]])</f>
        <v>000T188</v>
      </c>
      <c r="G18" s="137" t="s">
        <v>148</v>
      </c>
      <c r="H18" s="137" t="s">
        <v>149</v>
      </c>
      <c r="I18" s="137" t="s">
        <v>150</v>
      </c>
      <c r="J18" s="87"/>
      <c r="K18" s="87">
        <v>42305</v>
      </c>
      <c r="L18" s="87">
        <v>42360</v>
      </c>
      <c r="M18" s="87">
        <v>42374</v>
      </c>
      <c r="N18" s="139"/>
      <c r="O18" s="140">
        <v>110675</v>
      </c>
      <c r="P18" s="140"/>
      <c r="Q18" s="140"/>
      <c r="R18" s="140">
        <f>+Table_Query_from_MS_Access_Database8[[#This Row],[HSIP]]+Table_Query_from_MS_Access_Database8[[#This Row],[PL]]+Table_Query_from_MS_Access_Database8[[#This Row],[SPR]]+Table_Query_from_MS_Access_Database8[[#This Row],[STP OTHER]]</f>
        <v>110675</v>
      </c>
      <c r="S18" s="140">
        <f>S17-Table_Query_from_MS_Access_Database8[TOTAL OF AMOUNT]</f>
        <v>246935</v>
      </c>
      <c r="T18" s="78"/>
    </row>
    <row r="19" spans="1:20" s="49" customFormat="1" x14ac:dyDescent="0.3">
      <c r="A19" s="135" t="s">
        <v>147</v>
      </c>
      <c r="B19" s="135"/>
      <c r="C19" s="135" t="s">
        <v>111</v>
      </c>
      <c r="D19" s="135" t="s">
        <v>8</v>
      </c>
      <c r="E19" s="137" t="s">
        <v>153</v>
      </c>
      <c r="F19" s="138" t="str">
        <f>CONCATENATE(Table_Query_from_MS_Access_Database8[[#This Row],[RTE]],Table_Query_from_MS_Access_Database8[[#This Row],[SEC]],Table_Query_from_MS_Access_Database8[[#This Row],[SEQ]])</f>
        <v>000T188</v>
      </c>
      <c r="G19" s="137" t="s">
        <v>148</v>
      </c>
      <c r="H19" s="137" t="s">
        <v>149</v>
      </c>
      <c r="I19" s="137" t="s">
        <v>150</v>
      </c>
      <c r="J19" s="87"/>
      <c r="K19" s="87">
        <v>42432</v>
      </c>
      <c r="L19" s="87">
        <v>42436</v>
      </c>
      <c r="M19" s="87">
        <v>42437</v>
      </c>
      <c r="N19" s="139"/>
      <c r="O19" s="140">
        <v>-2257</v>
      </c>
      <c r="P19" s="140"/>
      <c r="Q19" s="140"/>
      <c r="R19" s="140">
        <f>+Table_Query_from_MS_Access_Database8[[#This Row],[HSIP]]+Table_Query_from_MS_Access_Database8[[#This Row],[PL]]+Table_Query_from_MS_Access_Database8[[#This Row],[SPR]]+Table_Query_from_MS_Access_Database8[[#This Row],[STP OTHER]]</f>
        <v>-2257</v>
      </c>
      <c r="S19" s="140">
        <f>S18-Table_Query_from_MS_Access_Database8[TOTAL OF AMOUNT]</f>
        <v>249192</v>
      </c>
    </row>
    <row r="20" spans="1:20" s="49" customFormat="1" x14ac:dyDescent="0.3">
      <c r="A20" s="135" t="s">
        <v>167</v>
      </c>
      <c r="B20" s="135"/>
      <c r="C20" s="135" t="s">
        <v>111</v>
      </c>
      <c r="D20" s="135" t="s">
        <v>8</v>
      </c>
      <c r="E20" s="137" t="s">
        <v>168</v>
      </c>
      <c r="F20" s="138" t="str">
        <f>CONCATENATE(Table_Query_from_MS_Access_Database8[[#This Row],[RTE]],Table_Query_from_MS_Access_Database8[[#This Row],[SEC]],Table_Query_from_MS_Access_Database8[[#This Row],[SEQ]])</f>
        <v>000T186</v>
      </c>
      <c r="G20" s="137" t="s">
        <v>148</v>
      </c>
      <c r="H20" s="137" t="s">
        <v>149</v>
      </c>
      <c r="I20" s="137" t="s">
        <v>169</v>
      </c>
      <c r="J20" s="87"/>
      <c r="K20" s="87">
        <v>42432</v>
      </c>
      <c r="L20" s="87">
        <v>42436</v>
      </c>
      <c r="M20" s="87">
        <v>42437</v>
      </c>
      <c r="N20" s="139"/>
      <c r="O20" s="140">
        <v>2257</v>
      </c>
      <c r="P20" s="140"/>
      <c r="Q20" s="140"/>
      <c r="R20" s="140">
        <f>+Table_Query_from_MS_Access_Database8[[#This Row],[HSIP]]+Table_Query_from_MS_Access_Database8[[#This Row],[PL]]+Table_Query_from_MS_Access_Database8[[#This Row],[SPR]]+Table_Query_from_MS_Access_Database8[[#This Row],[STP OTHER]]</f>
        <v>2257</v>
      </c>
      <c r="S20" s="140">
        <f>S19-Table_Query_from_MS_Access_Database8[TOTAL OF AMOUNT]</f>
        <v>246935</v>
      </c>
    </row>
    <row r="21" spans="1:20" s="54" customFormat="1" ht="15" x14ac:dyDescent="0.3">
      <c r="A21" s="136" t="s">
        <v>147</v>
      </c>
      <c r="B21" s="136"/>
      <c r="C21" s="136" t="s">
        <v>111</v>
      </c>
      <c r="D21" s="136" t="s">
        <v>8</v>
      </c>
      <c r="E21" s="137" t="s">
        <v>153</v>
      </c>
      <c r="F21" s="138" t="str">
        <f>CONCATENATE(Table_Query_from_MS_Access_Database8[[#This Row],[RTE]],Table_Query_from_MS_Access_Database8[[#This Row],[SEC]],Table_Query_from_MS_Access_Database8[[#This Row],[SEQ]])</f>
        <v>000T188</v>
      </c>
      <c r="G21" s="137" t="s">
        <v>148</v>
      </c>
      <c r="H21" s="137" t="s">
        <v>149</v>
      </c>
      <c r="I21" s="137" t="s">
        <v>150</v>
      </c>
      <c r="J21" s="87"/>
      <c r="K21" s="87">
        <v>42436</v>
      </c>
      <c r="L21" s="87">
        <v>42439</v>
      </c>
      <c r="M21" s="87">
        <v>42445</v>
      </c>
      <c r="N21" s="139"/>
      <c r="O21" s="140">
        <v>5873</v>
      </c>
      <c r="P21" s="140"/>
      <c r="Q21" s="140"/>
      <c r="R21" s="140">
        <f>+Table_Query_from_MS_Access_Database8[[#This Row],[HSIP]]+Table_Query_from_MS_Access_Database8[[#This Row],[PL]]+Table_Query_from_MS_Access_Database8[[#This Row],[SPR]]+Table_Query_from_MS_Access_Database8[[#This Row],[STP OTHER]]</f>
        <v>5873</v>
      </c>
      <c r="S21" s="140">
        <f>S20-Table_Query_from_MS_Access_Database8[TOTAL OF AMOUNT]</f>
        <v>241062</v>
      </c>
      <c r="T21" s="48"/>
    </row>
    <row r="22" spans="1:20" s="54" customFormat="1" ht="26.4" x14ac:dyDescent="0.3">
      <c r="A22" s="135" t="s">
        <v>154</v>
      </c>
      <c r="B22" s="135" t="s">
        <v>155</v>
      </c>
      <c r="C22" s="135" t="s">
        <v>156</v>
      </c>
      <c r="D22" s="135" t="s">
        <v>21</v>
      </c>
      <c r="E22" s="137" t="s">
        <v>157</v>
      </c>
      <c r="F22" s="138" t="str">
        <f>CONCATENATE(Table_Query_from_MS_Access_Database8[[#This Row],[RTE]],Table_Query_from_MS_Access_Database8[[#This Row],[SEC]],Table_Query_from_MS_Access_Database8[[#This Row],[SEQ]])</f>
        <v>LHV0209</v>
      </c>
      <c r="G22" s="137" t="s">
        <v>158</v>
      </c>
      <c r="H22" s="137" t="s">
        <v>159</v>
      </c>
      <c r="I22" s="137" t="s">
        <v>160</v>
      </c>
      <c r="J22" s="87"/>
      <c r="K22" s="87">
        <v>42467</v>
      </c>
      <c r="L22" s="87">
        <v>42499</v>
      </c>
      <c r="M22" s="87">
        <v>42501</v>
      </c>
      <c r="N22" s="139">
        <v>-56114</v>
      </c>
      <c r="O22" s="140"/>
      <c r="P22" s="140"/>
      <c r="Q22" s="140"/>
      <c r="R22" s="140">
        <f>+Table_Query_from_MS_Access_Database8[[#This Row],[HSIP]]+Table_Query_from_MS_Access_Database8[[#This Row],[PL]]+Table_Query_from_MS_Access_Database8[[#This Row],[SPR]]+Table_Query_from_MS_Access_Database8[[#This Row],[STP OTHER]]</f>
        <v>-56114</v>
      </c>
      <c r="S22" s="140">
        <f>S21-Table_Query_from_MS_Access_Database8[TOTAL OF AMOUNT]</f>
        <v>297176</v>
      </c>
      <c r="T22" s="48"/>
    </row>
    <row r="23" spans="1:20" s="54" customFormat="1" ht="26.4" x14ac:dyDescent="0.3">
      <c r="A23" s="152" t="s">
        <v>174</v>
      </c>
      <c r="B23" s="152" t="s">
        <v>175</v>
      </c>
      <c r="C23" s="152" t="s">
        <v>111</v>
      </c>
      <c r="D23" s="152" t="s">
        <v>7</v>
      </c>
      <c r="E23" s="153" t="s">
        <v>170</v>
      </c>
      <c r="F23" s="154" t="str">
        <f>CONCATENATE(Table_Query_from_MS_Access_Database8[[#This Row],[RTE]],Table_Query_from_MS_Access_Database8[[#This Row],[SEC]],Table_Query_from_MS_Access_Database8[[#This Row],[SEQ]])</f>
        <v>095C220</v>
      </c>
      <c r="G23" s="153" t="s">
        <v>171</v>
      </c>
      <c r="H23" s="153" t="s">
        <v>172</v>
      </c>
      <c r="I23" s="153" t="s">
        <v>173</v>
      </c>
      <c r="J23" s="155">
        <v>42510</v>
      </c>
      <c r="K23" s="155">
        <v>42515</v>
      </c>
      <c r="L23" s="155">
        <v>42534</v>
      </c>
      <c r="M23" s="155">
        <v>42545</v>
      </c>
      <c r="N23" s="156">
        <v>265926</v>
      </c>
      <c r="O23" s="157"/>
      <c r="P23" s="157"/>
      <c r="Q23" s="157"/>
      <c r="R23" s="157">
        <f>+Table_Query_from_MS_Access_Database8[[#This Row],[HSIP]]+Table_Query_from_MS_Access_Database8[[#This Row],[PL]]+Table_Query_from_MS_Access_Database8[[#This Row],[SPR]]+Table_Query_from_MS_Access_Database8[[#This Row],[STP OTHER]]</f>
        <v>265926</v>
      </c>
      <c r="S23" s="140">
        <f>S22-Table_Query_from_MS_Access_Database8[TOTAL OF AMOUNT]</f>
        <v>31250</v>
      </c>
      <c r="T23" s="48"/>
    </row>
    <row r="24" spans="1:20" s="54" customFormat="1" ht="15" x14ac:dyDescent="0.3">
      <c r="A24" s="185" t="s">
        <v>179</v>
      </c>
      <c r="B24" s="185"/>
      <c r="C24" s="185" t="s">
        <v>111</v>
      </c>
      <c r="D24" s="185" t="s">
        <v>7</v>
      </c>
      <c r="E24" s="186" t="s">
        <v>152</v>
      </c>
      <c r="F24" s="187" t="str">
        <f>CONCATENATE(Table_Query_from_MS_Access_Database8[[#This Row],[RTE]],Table_Query_from_MS_Access_Database8[[#This Row],[SEC]],Table_Query_from_MS_Access_Database8[[#This Row],[SEQ]])</f>
        <v>LHMS017</v>
      </c>
      <c r="G24" s="186" t="s">
        <v>180</v>
      </c>
      <c r="H24" s="186" t="s">
        <v>181</v>
      </c>
      <c r="I24" s="186" t="s">
        <v>182</v>
      </c>
      <c r="J24" s="188">
        <v>42552</v>
      </c>
      <c r="K24" s="188">
        <v>42604</v>
      </c>
      <c r="L24" s="188">
        <v>42604</v>
      </c>
      <c r="M24" s="188">
        <v>42605</v>
      </c>
      <c r="N24" s="189"/>
      <c r="O24" s="190"/>
      <c r="P24" s="190">
        <v>31250</v>
      </c>
      <c r="Q24" s="190"/>
      <c r="R24" s="190">
        <f>+Table_Query_from_MS_Access_Database8[[#This Row],[HSIP]]+Table_Query_from_MS_Access_Database8[[#This Row],[PL]]+Table_Query_from_MS_Access_Database8[[#This Row],[SPR]]+Table_Query_from_MS_Access_Database8[[#This Row],[STP OTHER]]</f>
        <v>31250</v>
      </c>
      <c r="S24" s="140">
        <f>S23-Table_Query_from_MS_Access_Database8[TOTAL OF AMOUNT]</f>
        <v>0</v>
      </c>
      <c r="T24" s="48"/>
    </row>
    <row r="25" spans="1:20" s="52" customFormat="1" ht="13.2" x14ac:dyDescent="0.3">
      <c r="E25" s="89"/>
      <c r="F25" s="89"/>
      <c r="G25" s="89"/>
      <c r="H25" s="89"/>
      <c r="I25" s="89"/>
      <c r="J25" s="89"/>
      <c r="K25" s="89"/>
      <c r="L25" s="89"/>
      <c r="M25" s="79" t="s">
        <v>87</v>
      </c>
      <c r="N25" s="113">
        <f>SUM(Table_Query_from_MS_Access_Database8[[#All],[HSIP]])</f>
        <v>379221</v>
      </c>
      <c r="O25" s="113">
        <f>SUM(Table_Query_from_MS_Access_Database8[[#All],[PL]])</f>
        <v>116548</v>
      </c>
      <c r="P25" s="113">
        <f>SUM(Table_Query_from_MS_Access_Database8[[#All],[SPR]])</f>
        <v>125000</v>
      </c>
      <c r="Q25" s="113">
        <f>SUM(Table_Query_from_MS_Access_Database8[[#All],[STP OTHER]])</f>
        <v>0</v>
      </c>
      <c r="R25" s="113">
        <f>SUM(Table_Query_from_MS_Access_Database8[[#All],[TOTAL OF AMOUNT]])</f>
        <v>620769</v>
      </c>
      <c r="S25" s="117"/>
      <c r="T25" s="55"/>
    </row>
    <row r="26" spans="1:20" s="52" customFormat="1" ht="13.2" x14ac:dyDescent="0.3">
      <c r="A26" s="93"/>
      <c r="B26" s="93"/>
      <c r="C26" s="93"/>
      <c r="D26" s="93"/>
      <c r="E26" s="89"/>
      <c r="F26" s="89"/>
      <c r="G26" s="89"/>
      <c r="H26" s="89"/>
      <c r="I26" s="89"/>
      <c r="J26" s="89"/>
      <c r="K26" s="89"/>
      <c r="L26" s="89"/>
      <c r="M26" s="79" t="s">
        <v>86</v>
      </c>
      <c r="N26" s="114">
        <f>+N12-N25</f>
        <v>40290.432117184042</v>
      </c>
      <c r="O26" s="114">
        <f>+O12-O25</f>
        <v>0.11999999999534339</v>
      </c>
      <c r="P26" s="114">
        <f>+P12-P25</f>
        <v>0</v>
      </c>
      <c r="Q26" s="114">
        <f>+Q12-Q25</f>
        <v>0.30682430742308497</v>
      </c>
      <c r="R26" s="114">
        <f>+R12-R25</f>
        <v>40290.85894149146</v>
      </c>
      <c r="S26" s="118"/>
      <c r="T26" s="80"/>
    </row>
    <row r="27" spans="1:20" s="52" customFormat="1" ht="15" x14ac:dyDescent="0.3">
      <c r="A27" s="90"/>
      <c r="B27" s="90"/>
      <c r="C27" s="90"/>
      <c r="D27" s="90"/>
      <c r="E27" s="91"/>
      <c r="F27" s="91"/>
      <c r="G27" s="91"/>
      <c r="H27" s="91"/>
      <c r="I27" s="91"/>
      <c r="J27" s="91"/>
      <c r="K27" s="91"/>
      <c r="L27" s="91"/>
      <c r="M27" s="91"/>
      <c r="N27" s="91"/>
      <c r="O27" s="91"/>
      <c r="P27" s="91"/>
      <c r="Q27" s="81"/>
      <c r="R27" s="48"/>
      <c r="S27" s="48"/>
      <c r="T27" s="80"/>
    </row>
    <row r="28" spans="1:20" s="52" customFormat="1" ht="16.8" x14ac:dyDescent="0.3">
      <c r="A28" s="160" t="s">
        <v>36</v>
      </c>
      <c r="B28" s="160"/>
      <c r="C28" s="160"/>
      <c r="D28" s="160"/>
      <c r="E28" s="53"/>
      <c r="F28" s="53"/>
      <c r="G28" s="90"/>
      <c r="H28" s="90"/>
      <c r="I28" s="90"/>
      <c r="J28" s="92"/>
      <c r="K28" s="48"/>
      <c r="L28" s="48"/>
      <c r="M28" s="48"/>
      <c r="N28" s="48"/>
      <c r="O28" s="48"/>
      <c r="P28" s="48"/>
      <c r="Q28" s="91"/>
      <c r="R28" s="91"/>
      <c r="S28" s="48"/>
      <c r="T28" s="80"/>
    </row>
    <row r="29" spans="1:20" s="52" customFormat="1" ht="45" x14ac:dyDescent="0.3">
      <c r="A29" s="92" t="s">
        <v>1</v>
      </c>
      <c r="B29" s="92" t="s">
        <v>0</v>
      </c>
      <c r="C29" s="92" t="s">
        <v>3</v>
      </c>
      <c r="D29" s="92" t="s">
        <v>95</v>
      </c>
      <c r="E29" s="92" t="s">
        <v>2</v>
      </c>
      <c r="F29" s="92" t="s">
        <v>61</v>
      </c>
      <c r="G29" s="92" t="s">
        <v>53</v>
      </c>
      <c r="H29" s="92" t="s">
        <v>54</v>
      </c>
      <c r="I29" s="92" t="s">
        <v>55</v>
      </c>
      <c r="J29" s="92" t="s">
        <v>56</v>
      </c>
      <c r="K29" s="92" t="s">
        <v>57</v>
      </c>
      <c r="L29" s="92" t="s">
        <v>58</v>
      </c>
      <c r="M29" s="92" t="s">
        <v>59</v>
      </c>
      <c r="N29" s="92" t="s">
        <v>4</v>
      </c>
      <c r="O29" s="92" t="s">
        <v>45</v>
      </c>
      <c r="P29" s="92" t="s">
        <v>5</v>
      </c>
      <c r="Q29" s="92" t="s">
        <v>60</v>
      </c>
      <c r="R29" s="92" t="s">
        <v>98</v>
      </c>
      <c r="S29" s="128" t="s">
        <v>62</v>
      </c>
      <c r="T29" s="80"/>
    </row>
    <row r="30" spans="1:20" s="49" customFormat="1" ht="15" customHeight="1" x14ac:dyDescent="0.3">
      <c r="A30" s="52"/>
      <c r="B30" s="52"/>
      <c r="C30" s="52"/>
      <c r="D30" s="52"/>
      <c r="E30" s="52"/>
      <c r="F30" s="93" t="str">
        <f>CONCATENATE(Table_Query_from_MS_Access_Database_1[[#This Row],[RTE]],Table_Query_from_MS_Access_Database_1[[#This Row],[SEC]],Table_Query_from_MS_Access_Database_1[[#This Row],[SEQ]])</f>
        <v/>
      </c>
      <c r="G30" s="52"/>
      <c r="H30" s="52"/>
      <c r="I30" s="52"/>
      <c r="J30" s="88"/>
      <c r="K30" s="88"/>
      <c r="L30" s="88"/>
      <c r="M30" s="88"/>
      <c r="N30" s="118"/>
      <c r="O30" s="118"/>
      <c r="P30" s="118"/>
      <c r="Q30" s="94"/>
      <c r="R30" s="118">
        <f>+Table_Query_from_MS_Access_Database_1[[#This Row],[HSIP]]+Table_Query_from_MS_Access_Database_1[[#This Row],[PL]]+Table_Query_from_MS_Access_Database_1[[#This Row],[SPR]]+Table_Query_from_MS_Access_Database_1[[#This Row],[STP OTHER]]</f>
        <v>0</v>
      </c>
      <c r="S30" s="118">
        <f>S24-Table_Query_from_MS_Access_Database_1[TOTAL OF AMOUNT]</f>
        <v>0</v>
      </c>
    </row>
    <row r="31" spans="1:20" s="49" customFormat="1" ht="15" customHeight="1" x14ac:dyDescent="0.3">
      <c r="A31" s="52"/>
      <c r="B31" s="52"/>
      <c r="C31" s="52"/>
      <c r="D31" s="52"/>
      <c r="E31" s="52"/>
      <c r="F31" s="52"/>
      <c r="G31" s="52"/>
      <c r="H31" s="52"/>
      <c r="I31" s="52"/>
      <c r="J31" s="55"/>
      <c r="K31" s="55"/>
      <c r="L31" s="55"/>
      <c r="M31" s="82" t="s">
        <v>99</v>
      </c>
      <c r="N31" s="119">
        <f>SUM(Table_Query_from_MS_Access_Database_1[[#All],[HSIP]])</f>
        <v>0</v>
      </c>
      <c r="O31" s="119">
        <f>SUM(Table_Query_from_MS_Access_Database_1[[#All],[PL]])</f>
        <v>0</v>
      </c>
      <c r="P31" s="119">
        <f>SUM(Table_Query_from_MS_Access_Database_1[[#All],[SPR]])</f>
        <v>0</v>
      </c>
      <c r="Q31" s="119">
        <f>SUM(Table_Query_from_MS_Access_Database_1[[#All],[STP OTHER]])</f>
        <v>0</v>
      </c>
      <c r="R31" s="119">
        <f>SUM(Table_Query_from_MS_Access_Database_1[[#All],[TOTAL OF AMOUNT]])</f>
        <v>0</v>
      </c>
      <c r="S31" s="120"/>
    </row>
    <row r="32" spans="1:20" s="52" customFormat="1" ht="15" customHeight="1" x14ac:dyDescent="0.3">
      <c r="J32" s="55"/>
      <c r="K32" s="55"/>
      <c r="L32" s="55"/>
      <c r="M32" s="83" t="s">
        <v>86</v>
      </c>
      <c r="N32" s="114">
        <f>+N26-N31</f>
        <v>40290.432117184042</v>
      </c>
      <c r="O32" s="114">
        <f>+O26-O31</f>
        <v>0.11999999999534339</v>
      </c>
      <c r="P32" s="114">
        <f>+P26-P31</f>
        <v>0</v>
      </c>
      <c r="Q32" s="114">
        <f>+Q26-Q31</f>
        <v>0.30682430742308497</v>
      </c>
      <c r="R32" s="114">
        <f>+R26-R31</f>
        <v>40290.85894149146</v>
      </c>
      <c r="S32" s="121"/>
    </row>
    <row r="33" spans="1:19" s="52" customFormat="1" ht="15" customHeight="1" x14ac:dyDescent="0.3">
      <c r="A33" s="49"/>
      <c r="B33" s="49"/>
      <c r="C33" s="49"/>
      <c r="D33" s="49"/>
      <c r="E33" s="49"/>
      <c r="F33" s="49"/>
      <c r="G33" s="49"/>
      <c r="H33" s="49"/>
      <c r="I33" s="49"/>
      <c r="J33" s="51"/>
      <c r="K33" s="51"/>
      <c r="L33" s="51"/>
      <c r="M33" s="51"/>
      <c r="N33" s="51"/>
      <c r="O33" s="51"/>
      <c r="P33" s="51"/>
      <c r="Q33" s="51"/>
      <c r="R33" s="49"/>
      <c r="S33" s="49"/>
    </row>
    <row r="34" spans="1:19" s="52" customFormat="1" ht="15" customHeight="1" x14ac:dyDescent="0.3">
      <c r="A34" s="49"/>
      <c r="B34" s="49"/>
      <c r="C34" s="49"/>
      <c r="D34" s="49"/>
      <c r="E34" s="49"/>
      <c r="F34" s="49"/>
      <c r="G34" s="49"/>
      <c r="H34" s="49"/>
      <c r="I34" s="49"/>
      <c r="J34" s="51"/>
      <c r="K34" s="51"/>
      <c r="L34" s="51"/>
      <c r="M34" s="51"/>
      <c r="N34" s="51"/>
      <c r="O34" s="51"/>
      <c r="P34" s="51"/>
      <c r="Q34" s="51"/>
      <c r="R34" s="49"/>
      <c r="S34" s="49"/>
    </row>
    <row r="35" spans="1:19" s="49" customFormat="1" x14ac:dyDescent="0.3">
      <c r="J35" s="51"/>
      <c r="K35" s="51"/>
      <c r="L35" s="51"/>
      <c r="M35" s="51"/>
      <c r="N35" s="51"/>
      <c r="O35" s="51"/>
      <c r="P35" s="51"/>
      <c r="Q35" s="51"/>
    </row>
    <row r="36" spans="1:19" ht="16.8" x14ac:dyDescent="0.3">
      <c r="A36" s="56" t="s">
        <v>88</v>
      </c>
      <c r="B36" s="49"/>
      <c r="C36" s="49"/>
      <c r="D36" s="49"/>
      <c r="E36" s="49"/>
      <c r="F36" s="49"/>
      <c r="G36" s="49"/>
      <c r="H36" s="49"/>
      <c r="I36" s="49"/>
      <c r="J36" s="51"/>
      <c r="K36" s="51"/>
      <c r="L36" s="51"/>
      <c r="M36" s="51"/>
      <c r="N36" s="158" t="s">
        <v>67</v>
      </c>
      <c r="O36" s="158"/>
      <c r="P36" s="158"/>
      <c r="Q36" s="158"/>
      <c r="R36" s="53"/>
      <c r="S36" s="49"/>
    </row>
    <row r="37" spans="1:19" x14ac:dyDescent="0.3">
      <c r="A37" s="49"/>
      <c r="B37" s="49"/>
      <c r="C37" s="49"/>
      <c r="D37" s="49"/>
      <c r="E37" s="49"/>
      <c r="F37" s="49"/>
      <c r="G37" s="49"/>
      <c r="H37" s="49"/>
      <c r="I37" s="49"/>
      <c r="J37" s="51"/>
      <c r="K37" s="51"/>
      <c r="L37" s="51"/>
      <c r="M37" s="84"/>
      <c r="N37" s="85" t="s">
        <v>4</v>
      </c>
      <c r="O37" s="85" t="s">
        <v>45</v>
      </c>
      <c r="P37" s="85" t="s">
        <v>5</v>
      </c>
      <c r="Q37" s="85" t="s">
        <v>68</v>
      </c>
      <c r="R37" s="85" t="s">
        <v>63</v>
      </c>
      <c r="S37" s="67" t="s">
        <v>69</v>
      </c>
    </row>
    <row r="38" spans="1:19" x14ac:dyDescent="0.3">
      <c r="A38" s="52"/>
      <c r="B38" s="52"/>
      <c r="C38" s="52"/>
      <c r="D38" s="52"/>
      <c r="E38" s="52"/>
      <c r="F38" s="52"/>
      <c r="G38" s="52"/>
      <c r="H38" s="52"/>
      <c r="I38" s="52"/>
      <c r="J38" s="55"/>
      <c r="K38" s="55"/>
      <c r="L38" s="55"/>
      <c r="M38" s="126" t="s">
        <v>143</v>
      </c>
      <c r="N38" s="114">
        <f>+N32</f>
        <v>40290.432117184042</v>
      </c>
      <c r="O38" s="114">
        <f>+O32</f>
        <v>0.11999999999534339</v>
      </c>
      <c r="P38" s="114">
        <f>+P32</f>
        <v>0</v>
      </c>
      <c r="Q38" s="114">
        <f>+Q32</f>
        <v>0.30682430742308497</v>
      </c>
      <c r="R38" s="114">
        <f>SUM(N38:Q38)</f>
        <v>40290.85894149146</v>
      </c>
      <c r="S38" s="114">
        <f>S30</f>
        <v>0</v>
      </c>
    </row>
    <row r="39" spans="1:19" x14ac:dyDescent="0.3">
      <c r="A39" s="52"/>
      <c r="B39" s="52"/>
      <c r="C39" s="52"/>
      <c r="D39" s="52"/>
      <c r="E39" s="52"/>
      <c r="F39" s="52"/>
      <c r="G39" s="52"/>
      <c r="H39" s="52"/>
      <c r="I39" s="52"/>
      <c r="J39" s="55"/>
      <c r="K39" s="55"/>
      <c r="L39" s="55"/>
      <c r="M39" s="126" t="s">
        <v>144</v>
      </c>
      <c r="N39" s="132">
        <f>SUMIFS(Table_Query_from_MS_Access_Database[[#All],[HSIP]],Table_Query_from_MS_Access_Database[[#All],[Transaction Year]],"2015",Table_Query_from_MS_Access_Database[[#All],[Transaction Type]],"Lapsing")</f>
        <v>0</v>
      </c>
      <c r="O39" s="132">
        <f>SUMIFS(Table_Query_from_MS_Access_Database[[#All],[PL]],Table_Query_from_MS_Access_Database[[#All],[Transaction Year]],"2015",Table_Query_from_MS_Access_Database[[#All],[Transaction Type]],"Lapsing")</f>
        <v>0</v>
      </c>
      <c r="P39" s="132">
        <f>SUMIFS(Table_Query_from_MS_Access_Database[[#All],[SPR]],Table_Query_from_MS_Access_Database[[#All],[Transaction Year]],"2015",Table_Query_from_MS_Access_Database[[#All],[Transaction Type]],"Lapsing")</f>
        <v>0</v>
      </c>
      <c r="Q39" s="132">
        <f>SUMIFS(Table_Query_from_MS_Access_Database[[#All],[STP other]],Table_Query_from_MS_Access_Database[[#All],[Transaction Year]],"2015",Table_Query_from_MS_Access_Database[[#All],[Transaction Type]],"Lapsing")</f>
        <v>0</v>
      </c>
      <c r="R39" s="132">
        <f>SUM(N39:Q39)</f>
        <v>0</v>
      </c>
      <c r="S39" s="132">
        <f>SUMIFS(Table_Query_from_MS_Access_Database_16[[#All],[Total]],Table_Query_from_MS_Access_Database_16[[#All],[Transaction Year]],"2015",Table_Query_from_MS_Access_Database_16[[#All],[Transaction Type]],"Lapsing")</f>
        <v>0</v>
      </c>
    </row>
    <row r="40" spans="1:19" x14ac:dyDescent="0.3">
      <c r="A40" s="52"/>
      <c r="B40" s="52"/>
      <c r="C40" s="52"/>
      <c r="D40" s="52"/>
      <c r="E40" s="52"/>
      <c r="F40" s="52"/>
      <c r="G40" s="52"/>
      <c r="H40" s="52"/>
      <c r="I40" s="52"/>
      <c r="J40" s="55"/>
      <c r="K40" s="55"/>
      <c r="L40" s="55"/>
      <c r="M40" s="126" t="s">
        <v>145</v>
      </c>
      <c r="N40" s="105">
        <f>SUM(N38:N39)</f>
        <v>40290.432117184042</v>
      </c>
      <c r="O40" s="105">
        <f>SUM(O38:O39)</f>
        <v>0.11999999999534339</v>
      </c>
      <c r="P40" s="105">
        <f>SUM(P38:P39)</f>
        <v>0</v>
      </c>
      <c r="Q40" s="105">
        <f>SUM(Q38:Q39)</f>
        <v>0.30682430742308497</v>
      </c>
      <c r="R40" s="105">
        <f>SUM(N40:Q40)</f>
        <v>40290.85894149146</v>
      </c>
      <c r="S40" s="105">
        <f>SUM(S38:S39)</f>
        <v>0</v>
      </c>
    </row>
    <row r="41" spans="1:19" x14ac:dyDescent="0.3">
      <c r="A41" s="52"/>
      <c r="B41" s="52"/>
      <c r="C41" s="52"/>
      <c r="D41" s="52"/>
      <c r="E41" s="52"/>
      <c r="F41" s="52"/>
      <c r="G41" s="52"/>
      <c r="H41" s="52"/>
      <c r="I41" s="52"/>
      <c r="J41" s="55"/>
      <c r="K41" s="55"/>
      <c r="L41" s="55"/>
      <c r="M41" s="127" t="s">
        <v>146</v>
      </c>
      <c r="N41" s="132">
        <f>+N38-N32</f>
        <v>0</v>
      </c>
      <c r="O41" s="132">
        <f>+O38-O32</f>
        <v>0</v>
      </c>
      <c r="P41" s="132">
        <v>0</v>
      </c>
      <c r="Q41" s="132">
        <v>0</v>
      </c>
      <c r="R41" s="132">
        <v>0</v>
      </c>
      <c r="S41" s="132">
        <v>0</v>
      </c>
    </row>
    <row r="42" spans="1:19" x14ac:dyDescent="0.3">
      <c r="A42" s="49"/>
      <c r="B42" s="49"/>
      <c r="C42" s="49"/>
      <c r="D42" s="49"/>
      <c r="E42" s="49"/>
      <c r="F42" s="49"/>
      <c r="G42" s="49"/>
      <c r="H42" s="49"/>
      <c r="I42" s="49"/>
      <c r="J42" s="51"/>
      <c r="K42" s="51"/>
      <c r="L42" s="51"/>
      <c r="M42" s="51"/>
      <c r="N42" s="51"/>
      <c r="O42" s="51"/>
      <c r="P42" s="51"/>
      <c r="Q42" s="51"/>
      <c r="R42" s="49"/>
      <c r="S42" s="49"/>
    </row>
  </sheetData>
  <sheetProtection autoFilter="0"/>
  <mergeCells count="10">
    <mergeCell ref="N36:Q36"/>
    <mergeCell ref="A1:F1"/>
    <mergeCell ref="A14:D14"/>
    <mergeCell ref="A9:L9"/>
    <mergeCell ref="N1:S1"/>
    <mergeCell ref="A3:D3"/>
    <mergeCell ref="A4:D4"/>
    <mergeCell ref="J14:M14"/>
    <mergeCell ref="A28:D28"/>
    <mergeCell ref="N2:R2"/>
  </mergeCells>
  <pageMargins left="0.5" right="0.25" top="0.75" bottom="0.75" header="0.3" footer="0.3"/>
  <pageSetup paperSize="17" scale="69"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2"/>
  <sheetViews>
    <sheetView zoomScaleNormal="100" workbookViewId="0">
      <selection activeCell="D20" sqref="D20"/>
    </sheetView>
  </sheetViews>
  <sheetFormatPr defaultColWidth="19.6640625" defaultRowHeight="14.4" x14ac:dyDescent="0.3"/>
  <cols>
    <col min="1" max="1" width="18.5546875" style="25" customWidth="1"/>
    <col min="2" max="2" width="19" style="25" customWidth="1"/>
    <col min="3" max="3" width="17.7773437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9" width="10.77734375" style="25" customWidth="1"/>
    <col min="10" max="10" width="7.77734375" style="25" customWidth="1"/>
    <col min="11" max="11" width="12.6640625" style="25" customWidth="1"/>
    <col min="12" max="12" width="16.5546875" style="25" customWidth="1"/>
    <col min="13" max="13" width="11.77734375" style="25" customWidth="1"/>
    <col min="14" max="14" width="15.6640625" style="25" customWidth="1"/>
    <col min="15" max="15" width="8.88671875" style="25" customWidth="1"/>
    <col min="16" max="16" width="8.77734375" style="25" customWidth="1"/>
    <col min="17" max="17" width="12" style="25" customWidth="1"/>
    <col min="18" max="18" width="37.2187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70" t="str">
        <f>+'Federal Funds Transactions'!A1:F1</f>
        <v>Lake Havasu Metropolitan Planning Organization</v>
      </c>
      <c r="B1" s="170"/>
      <c r="C1" s="170"/>
      <c r="D1" s="170"/>
      <c r="E1" s="170"/>
      <c r="F1" s="170"/>
    </row>
    <row r="2" spans="1:26" x14ac:dyDescent="0.35">
      <c r="A2" s="27"/>
      <c r="B2" s="27"/>
      <c r="C2" s="27"/>
      <c r="D2" s="27"/>
      <c r="E2" s="27"/>
      <c r="F2" s="27"/>
    </row>
    <row r="3" spans="1:26" x14ac:dyDescent="0.35">
      <c r="A3" s="171" t="s">
        <v>94</v>
      </c>
      <c r="B3" s="171"/>
      <c r="C3" s="171"/>
      <c r="D3" s="171"/>
      <c r="E3" s="171"/>
      <c r="F3" s="171"/>
    </row>
    <row r="4" spans="1:26" x14ac:dyDescent="0.35">
      <c r="A4" s="28"/>
      <c r="B4" s="28"/>
      <c r="C4" s="28"/>
      <c r="D4" s="28"/>
      <c r="E4" s="28"/>
      <c r="F4" s="28"/>
    </row>
    <row r="5" spans="1:26" x14ac:dyDescent="0.35">
      <c r="A5" s="25" t="s">
        <v>93</v>
      </c>
      <c r="B5" s="65">
        <f>+'Federal Funds Transactions'!C5</f>
        <v>42643</v>
      </c>
      <c r="C5" s="27"/>
      <c r="D5" s="27"/>
      <c r="E5" s="27"/>
      <c r="F5" s="27"/>
    </row>
    <row r="6" spans="1:26" x14ac:dyDescent="0.35">
      <c r="A6" s="27"/>
      <c r="B6" s="27"/>
      <c r="C6" s="27"/>
      <c r="D6" s="27"/>
      <c r="E6" s="27"/>
      <c r="F6" s="27"/>
    </row>
    <row r="7" spans="1:26" ht="15" customHeight="1" x14ac:dyDescent="0.35">
      <c r="A7" s="174" t="str">
        <f>+'Federal Funds Transactions'!A9:L9</f>
        <v>IMPORTANT! Please review the information in the Notes tab for further explanation of the data in this document.</v>
      </c>
      <c r="B7" s="174"/>
      <c r="C7" s="174"/>
      <c r="D7" s="174"/>
      <c r="E7" s="174"/>
      <c r="F7" s="174"/>
      <c r="G7" s="174"/>
      <c r="H7" s="174"/>
    </row>
    <row r="9" spans="1:26" ht="15.75" customHeight="1" x14ac:dyDescent="0.35">
      <c r="A9" s="172" t="s">
        <v>90</v>
      </c>
      <c r="B9" s="172"/>
      <c r="C9" s="172"/>
      <c r="D9" s="172"/>
      <c r="E9" s="172"/>
      <c r="F9" s="172"/>
      <c r="G9" s="172"/>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73" t="s">
        <v>49</v>
      </c>
      <c r="B11" s="74" t="s">
        <v>50</v>
      </c>
      <c r="C11" s="74" t="s">
        <v>13</v>
      </c>
      <c r="D11" s="74" t="s">
        <v>51</v>
      </c>
      <c r="E11" s="74" t="s">
        <v>10</v>
      </c>
      <c r="F11" s="74" t="s">
        <v>43</v>
      </c>
      <c r="G11" s="74" t="s">
        <v>44</v>
      </c>
      <c r="H11" s="74" t="s">
        <v>4</v>
      </c>
      <c r="I11" s="74" t="s">
        <v>45</v>
      </c>
      <c r="J11" s="74" t="s">
        <v>5</v>
      </c>
      <c r="K11" s="74" t="s">
        <v>6</v>
      </c>
      <c r="L11" s="74" t="s">
        <v>46</v>
      </c>
      <c r="M11" s="74" t="s">
        <v>47</v>
      </c>
      <c r="N11" s="74" t="s">
        <v>48</v>
      </c>
      <c r="O11" s="74" t="s">
        <v>102</v>
      </c>
      <c r="P11" s="74" t="s">
        <v>103</v>
      </c>
      <c r="Q11" s="74" t="s">
        <v>104</v>
      </c>
      <c r="R11" s="75" t="s">
        <v>105</v>
      </c>
      <c r="S11" s="31"/>
      <c r="T11" s="31"/>
      <c r="U11" s="31"/>
      <c r="V11" s="31"/>
      <c r="W11" s="9"/>
      <c r="X11" s="9"/>
      <c r="Y11" s="9"/>
      <c r="Z11" s="9"/>
    </row>
    <row r="12" spans="1:26" x14ac:dyDescent="0.3">
      <c r="A12" s="59" t="s">
        <v>109</v>
      </c>
      <c r="B12" s="57" t="s">
        <v>131</v>
      </c>
      <c r="C12" s="57" t="s">
        <v>132</v>
      </c>
      <c r="D12" s="57" t="s">
        <v>133</v>
      </c>
      <c r="E12" s="57">
        <v>-19147</v>
      </c>
      <c r="F12" s="57"/>
      <c r="G12" s="57"/>
      <c r="H12" s="57"/>
      <c r="I12" s="57">
        <v>-19147</v>
      </c>
      <c r="J12" s="57"/>
      <c r="K12" s="57"/>
      <c r="L12" s="57"/>
      <c r="M12" s="57"/>
      <c r="N12" s="57"/>
      <c r="O12" s="58" t="s">
        <v>111</v>
      </c>
      <c r="P12" s="58" t="s">
        <v>128</v>
      </c>
      <c r="Q12" s="58"/>
      <c r="R12" s="61" t="s">
        <v>134</v>
      </c>
      <c r="S12" s="72"/>
      <c r="T12" s="72"/>
      <c r="U12" s="72"/>
      <c r="V12" s="72"/>
      <c r="W12" s="9"/>
      <c r="X12" s="9"/>
      <c r="Y12" s="9"/>
      <c r="Z12" s="9"/>
    </row>
    <row r="13" spans="1:26" x14ac:dyDescent="0.3">
      <c r="A13" s="60" t="s">
        <v>109</v>
      </c>
      <c r="B13" s="58" t="s">
        <v>52</v>
      </c>
      <c r="C13" s="58" t="s">
        <v>115</v>
      </c>
      <c r="D13" s="58"/>
      <c r="E13" s="58">
        <v>-519767</v>
      </c>
      <c r="F13" s="58"/>
      <c r="G13" s="58"/>
      <c r="H13" s="58">
        <v>-519767</v>
      </c>
      <c r="I13" s="58"/>
      <c r="J13" s="58"/>
      <c r="K13" s="58"/>
      <c r="L13" s="58"/>
      <c r="M13" s="58"/>
      <c r="N13" s="58"/>
      <c r="O13" s="58" t="s">
        <v>111</v>
      </c>
      <c r="P13" s="58" t="s">
        <v>112</v>
      </c>
      <c r="Q13" s="58"/>
      <c r="R13" s="61" t="s">
        <v>116</v>
      </c>
      <c r="S13" s="72"/>
      <c r="T13" s="72"/>
      <c r="U13" s="72"/>
      <c r="V13" s="72"/>
      <c r="W13" s="9"/>
      <c r="X13" s="9"/>
      <c r="Y13" s="9"/>
      <c r="Z13" s="9"/>
    </row>
    <row r="14" spans="1:26" x14ac:dyDescent="0.3">
      <c r="A14" s="60" t="s">
        <v>109</v>
      </c>
      <c r="B14" s="58" t="s">
        <v>52</v>
      </c>
      <c r="C14" s="58" t="s">
        <v>110</v>
      </c>
      <c r="D14" s="58" t="s">
        <v>113</v>
      </c>
      <c r="E14" s="58">
        <v>-302770</v>
      </c>
      <c r="F14" s="58"/>
      <c r="G14" s="58"/>
      <c r="H14" s="58"/>
      <c r="I14" s="58"/>
      <c r="J14" s="58"/>
      <c r="K14" s="58">
        <v>-302770</v>
      </c>
      <c r="L14" s="58"/>
      <c r="M14" s="58"/>
      <c r="N14" s="58"/>
      <c r="O14" s="58" t="s">
        <v>111</v>
      </c>
      <c r="P14" s="58" t="s">
        <v>112</v>
      </c>
      <c r="Q14" s="58"/>
      <c r="R14" s="61" t="s">
        <v>114</v>
      </c>
      <c r="S14" s="72"/>
      <c r="T14" s="72"/>
      <c r="U14" s="72"/>
      <c r="V14" s="72"/>
      <c r="W14" s="9"/>
      <c r="X14" s="9"/>
      <c r="Y14" s="9"/>
      <c r="Z14" s="9"/>
    </row>
    <row r="15" spans="1:26" x14ac:dyDescent="0.3">
      <c r="A15" s="60" t="s">
        <v>117</v>
      </c>
      <c r="B15" s="58" t="s">
        <v>96</v>
      </c>
      <c r="C15" s="58" t="s">
        <v>135</v>
      </c>
      <c r="D15" s="58" t="s">
        <v>123</v>
      </c>
      <c r="E15" s="58">
        <v>-165341</v>
      </c>
      <c r="F15" s="58"/>
      <c r="G15" s="58"/>
      <c r="H15" s="58">
        <v>-165341</v>
      </c>
      <c r="I15" s="58"/>
      <c r="J15" s="58"/>
      <c r="K15" s="58"/>
      <c r="L15" s="58"/>
      <c r="M15" s="58"/>
      <c r="N15" s="58"/>
      <c r="O15" s="58" t="s">
        <v>111</v>
      </c>
      <c r="P15" s="58" t="s">
        <v>112</v>
      </c>
      <c r="Q15" s="58"/>
      <c r="R15" s="61" t="s">
        <v>136</v>
      </c>
      <c r="S15" s="72"/>
      <c r="T15" s="72"/>
      <c r="U15" s="72"/>
      <c r="V15" s="72"/>
      <c r="W15" s="9"/>
      <c r="X15" s="9"/>
      <c r="Y15" s="9"/>
      <c r="Z15" s="9"/>
    </row>
    <row r="16" spans="1:26" x14ac:dyDescent="0.3">
      <c r="A16" s="60" t="s">
        <v>117</v>
      </c>
      <c r="B16" s="58" t="s">
        <v>52</v>
      </c>
      <c r="C16" s="58" t="s">
        <v>110</v>
      </c>
      <c r="D16" s="58" t="s">
        <v>113</v>
      </c>
      <c r="E16" s="58">
        <v>-302770</v>
      </c>
      <c r="F16" s="58"/>
      <c r="G16" s="58"/>
      <c r="H16" s="58"/>
      <c r="I16" s="58"/>
      <c r="J16" s="58"/>
      <c r="K16" s="58">
        <v>-302770</v>
      </c>
      <c r="L16" s="58"/>
      <c r="M16" s="58"/>
      <c r="N16" s="58"/>
      <c r="O16" s="58" t="s">
        <v>111</v>
      </c>
      <c r="P16" s="58" t="s">
        <v>112</v>
      </c>
      <c r="Q16" s="58"/>
      <c r="R16" s="61" t="s">
        <v>118</v>
      </c>
      <c r="S16" s="72"/>
      <c r="T16" s="72"/>
      <c r="U16" s="72"/>
      <c r="V16" s="72"/>
      <c r="W16" s="9"/>
      <c r="X16" s="9"/>
      <c r="Y16" s="9"/>
      <c r="Z16" s="9"/>
    </row>
    <row r="17" spans="1:26" x14ac:dyDescent="0.3">
      <c r="A17" s="62" t="s">
        <v>119</v>
      </c>
      <c r="B17" s="63" t="s">
        <v>96</v>
      </c>
      <c r="C17" s="63" t="s">
        <v>176</v>
      </c>
      <c r="D17" s="63" t="s">
        <v>177</v>
      </c>
      <c r="E17" s="63">
        <v>-100256</v>
      </c>
      <c r="F17" s="63"/>
      <c r="G17" s="63"/>
      <c r="H17" s="63">
        <v>-100256</v>
      </c>
      <c r="I17" s="63"/>
      <c r="J17" s="63"/>
      <c r="K17" s="63"/>
      <c r="L17" s="63"/>
      <c r="M17" s="63"/>
      <c r="N17" s="63"/>
      <c r="O17" s="63" t="s">
        <v>111</v>
      </c>
      <c r="P17" s="63" t="s">
        <v>128</v>
      </c>
      <c r="Q17" s="63"/>
      <c r="R17" s="64" t="s">
        <v>178</v>
      </c>
      <c r="S17" s="72"/>
      <c r="T17" s="72"/>
      <c r="U17" s="72"/>
      <c r="V17" s="72"/>
      <c r="W17" s="9"/>
      <c r="X17" s="9"/>
      <c r="Y17" s="9"/>
      <c r="Z17" s="9"/>
    </row>
    <row r="18" spans="1:26" x14ac:dyDescent="0.3">
      <c r="A18" s="59" t="s">
        <v>119</v>
      </c>
      <c r="B18" s="57" t="s">
        <v>52</v>
      </c>
      <c r="C18" s="57" t="s">
        <v>110</v>
      </c>
      <c r="D18" s="57" t="s">
        <v>113</v>
      </c>
      <c r="E18" s="57">
        <v>-302770</v>
      </c>
      <c r="F18" s="57"/>
      <c r="G18" s="57"/>
      <c r="H18" s="57"/>
      <c r="I18" s="57"/>
      <c r="J18" s="57"/>
      <c r="K18" s="57">
        <v>-302770</v>
      </c>
      <c r="L18" s="57"/>
      <c r="M18" s="57"/>
      <c r="N18" s="57"/>
      <c r="O18" s="57" t="s">
        <v>111</v>
      </c>
      <c r="P18" s="57" t="s">
        <v>112</v>
      </c>
      <c r="Q18" s="57"/>
      <c r="R18" s="86" t="s">
        <v>120</v>
      </c>
      <c r="S18" s="72"/>
      <c r="T18" s="72"/>
      <c r="U18" s="72"/>
      <c r="V18" s="72"/>
    </row>
    <row r="19" spans="1:26" x14ac:dyDescent="0.3">
      <c r="A19" s="59" t="s">
        <v>121</v>
      </c>
      <c r="B19" s="57" t="s">
        <v>97</v>
      </c>
      <c r="C19" s="57" t="s">
        <v>176</v>
      </c>
      <c r="D19" s="57" t="s">
        <v>177</v>
      </c>
      <c r="E19" s="57">
        <v>85256</v>
      </c>
      <c r="F19" s="57"/>
      <c r="G19" s="57"/>
      <c r="H19" s="57">
        <v>85256</v>
      </c>
      <c r="I19" s="57"/>
      <c r="J19" s="57"/>
      <c r="K19" s="57"/>
      <c r="L19" s="57"/>
      <c r="M19" s="57"/>
      <c r="N19" s="57"/>
      <c r="O19" s="57" t="s">
        <v>128</v>
      </c>
      <c r="P19" s="57" t="s">
        <v>111</v>
      </c>
      <c r="Q19" s="57"/>
      <c r="R19" s="86" t="s">
        <v>178</v>
      </c>
      <c r="S19" s="72"/>
      <c r="T19" s="72"/>
      <c r="U19" s="72"/>
      <c r="V19" s="72"/>
    </row>
    <row r="20" spans="1:26" x14ac:dyDescent="0.3">
      <c r="A20" s="59" t="s">
        <v>121</v>
      </c>
      <c r="B20" s="57" t="s">
        <v>52</v>
      </c>
      <c r="C20" s="57" t="s">
        <v>110</v>
      </c>
      <c r="D20" s="57" t="s">
        <v>113</v>
      </c>
      <c r="E20" s="57">
        <v>-302770</v>
      </c>
      <c r="F20" s="57"/>
      <c r="G20" s="57"/>
      <c r="H20" s="57"/>
      <c r="I20" s="57"/>
      <c r="J20" s="57"/>
      <c r="K20" s="57">
        <v>-302770</v>
      </c>
      <c r="L20" s="57"/>
      <c r="M20" s="57"/>
      <c r="N20" s="57"/>
      <c r="O20" s="57" t="s">
        <v>111</v>
      </c>
      <c r="P20" s="57" t="s">
        <v>112</v>
      </c>
      <c r="Q20" s="57"/>
      <c r="R20" s="86" t="s">
        <v>122</v>
      </c>
      <c r="S20" s="72"/>
      <c r="T20" s="72"/>
      <c r="U20" s="72"/>
      <c r="V20" s="72"/>
    </row>
    <row r="21" spans="1:26" x14ac:dyDescent="0.3">
      <c r="A21" s="59" t="s">
        <v>123</v>
      </c>
      <c r="B21" s="57" t="s">
        <v>97</v>
      </c>
      <c r="C21" s="57" t="s">
        <v>135</v>
      </c>
      <c r="D21" s="57" t="s">
        <v>123</v>
      </c>
      <c r="E21" s="57">
        <v>165341</v>
      </c>
      <c r="F21" s="57"/>
      <c r="G21" s="57"/>
      <c r="H21" s="57">
        <v>165341</v>
      </c>
      <c r="I21" s="57"/>
      <c r="J21" s="57"/>
      <c r="K21" s="57"/>
      <c r="L21" s="57"/>
      <c r="M21" s="57"/>
      <c r="N21" s="57"/>
      <c r="O21" s="57" t="s">
        <v>112</v>
      </c>
      <c r="P21" s="57" t="s">
        <v>111</v>
      </c>
      <c r="Q21" s="57"/>
      <c r="R21" s="86" t="s">
        <v>136</v>
      </c>
      <c r="S21" s="72"/>
      <c r="T21" s="72"/>
      <c r="U21" s="72"/>
      <c r="V21" s="72"/>
    </row>
    <row r="22" spans="1:26" x14ac:dyDescent="0.3">
      <c r="A22" s="59" t="s">
        <v>123</v>
      </c>
      <c r="B22" s="57" t="s">
        <v>97</v>
      </c>
      <c r="C22" s="57" t="s">
        <v>176</v>
      </c>
      <c r="D22" s="57" t="s">
        <v>177</v>
      </c>
      <c r="E22" s="57">
        <v>15000</v>
      </c>
      <c r="F22" s="57"/>
      <c r="G22" s="57"/>
      <c r="H22" s="57">
        <v>15000</v>
      </c>
      <c r="I22" s="57"/>
      <c r="J22" s="57"/>
      <c r="K22" s="57"/>
      <c r="L22" s="57"/>
      <c r="M22" s="57"/>
      <c r="N22" s="57"/>
      <c r="O22" s="57" t="s">
        <v>128</v>
      </c>
      <c r="P22" s="57" t="s">
        <v>111</v>
      </c>
      <c r="Q22" s="57"/>
      <c r="R22" s="86" t="s">
        <v>178</v>
      </c>
      <c r="S22" s="72"/>
      <c r="T22" s="72"/>
      <c r="U22" s="72"/>
      <c r="V22" s="72"/>
    </row>
    <row r="23" spans="1:26" x14ac:dyDescent="0.3">
      <c r="A23" s="142" t="s">
        <v>123</v>
      </c>
      <c r="B23" s="143" t="s">
        <v>52</v>
      </c>
      <c r="C23" s="143" t="s">
        <v>110</v>
      </c>
      <c r="D23" s="143" t="s">
        <v>124</v>
      </c>
      <c r="E23" s="143">
        <v>-302770</v>
      </c>
      <c r="F23" s="143"/>
      <c r="G23" s="143"/>
      <c r="H23" s="143"/>
      <c r="I23" s="143"/>
      <c r="J23" s="143"/>
      <c r="K23" s="143">
        <v>-302770</v>
      </c>
      <c r="L23" s="143"/>
      <c r="M23" s="143"/>
      <c r="N23" s="143"/>
      <c r="O23" s="143" t="s">
        <v>111</v>
      </c>
      <c r="P23" s="143" t="s">
        <v>112</v>
      </c>
      <c r="Q23" s="143"/>
      <c r="R23" s="144" t="s">
        <v>125</v>
      </c>
      <c r="S23" s="72"/>
      <c r="T23" s="72"/>
      <c r="U23" s="72"/>
      <c r="V23" s="72"/>
    </row>
    <row r="24" spans="1:26" x14ac:dyDescent="0.3">
      <c r="A24" s="146" t="s">
        <v>123</v>
      </c>
      <c r="B24" s="148" t="s">
        <v>52</v>
      </c>
      <c r="C24" s="148" t="s">
        <v>164</v>
      </c>
      <c r="D24" s="148" t="s">
        <v>133</v>
      </c>
      <c r="E24" s="148">
        <v>-567394</v>
      </c>
      <c r="F24" s="148"/>
      <c r="G24" s="148"/>
      <c r="H24" s="148">
        <v>-567394</v>
      </c>
      <c r="I24" s="148"/>
      <c r="J24" s="148"/>
      <c r="K24" s="148"/>
      <c r="L24" s="148"/>
      <c r="M24" s="148"/>
      <c r="N24" s="148"/>
      <c r="O24" s="148" t="s">
        <v>111</v>
      </c>
      <c r="P24" s="148" t="s">
        <v>128</v>
      </c>
      <c r="Q24" s="148" t="s">
        <v>165</v>
      </c>
      <c r="R24" s="150" t="s">
        <v>166</v>
      </c>
      <c r="S24" s="72"/>
      <c r="T24" s="72"/>
      <c r="U24" s="72"/>
      <c r="V24" s="72"/>
    </row>
    <row r="25" spans="1:26" x14ac:dyDescent="0.3">
      <c r="A25" s="146" t="s">
        <v>113</v>
      </c>
      <c r="B25" s="148" t="s">
        <v>52</v>
      </c>
      <c r="C25" s="148" t="s">
        <v>110</v>
      </c>
      <c r="D25" s="148" t="s">
        <v>124</v>
      </c>
      <c r="E25" s="148">
        <v>-302770</v>
      </c>
      <c r="F25" s="148"/>
      <c r="G25" s="148"/>
      <c r="H25" s="148"/>
      <c r="I25" s="148"/>
      <c r="J25" s="148"/>
      <c r="K25" s="148">
        <v>-302770</v>
      </c>
      <c r="L25" s="148"/>
      <c r="M25" s="148"/>
      <c r="N25" s="148"/>
      <c r="O25" s="148" t="s">
        <v>111</v>
      </c>
      <c r="P25" s="148" t="s">
        <v>112</v>
      </c>
      <c r="Q25" s="148"/>
      <c r="R25" s="150" t="s">
        <v>126</v>
      </c>
      <c r="S25" s="72"/>
      <c r="T25" s="72"/>
      <c r="U25" s="72"/>
      <c r="V25" s="72"/>
    </row>
    <row r="26" spans="1:26" x14ac:dyDescent="0.3">
      <c r="A26" s="147" t="s">
        <v>124</v>
      </c>
      <c r="B26" s="149" t="s">
        <v>52</v>
      </c>
      <c r="C26" s="149" t="s">
        <v>110</v>
      </c>
      <c r="D26" s="149" t="s">
        <v>124</v>
      </c>
      <c r="E26" s="149">
        <v>-302770</v>
      </c>
      <c r="F26" s="149"/>
      <c r="G26" s="149"/>
      <c r="H26" s="149"/>
      <c r="I26" s="149"/>
      <c r="J26" s="149"/>
      <c r="K26" s="149">
        <v>-302770</v>
      </c>
      <c r="L26" s="149"/>
      <c r="M26" s="149"/>
      <c r="N26" s="149"/>
      <c r="O26" s="149" t="s">
        <v>111</v>
      </c>
      <c r="P26" s="149" t="s">
        <v>112</v>
      </c>
      <c r="Q26" s="149"/>
      <c r="R26" s="151" t="s">
        <v>127</v>
      </c>
      <c r="S26" s="72"/>
      <c r="T26" s="72"/>
      <c r="U26" s="72"/>
      <c r="V26" s="72"/>
    </row>
    <row r="27" spans="1:26" ht="15.6" x14ac:dyDescent="0.3">
      <c r="A27" s="173" t="s">
        <v>91</v>
      </c>
      <c r="B27" s="173"/>
      <c r="C27" s="173"/>
      <c r="D27" s="173"/>
      <c r="E27" s="173"/>
      <c r="F27" s="173"/>
      <c r="G27" s="173"/>
      <c r="S27" s="72"/>
      <c r="T27" s="72"/>
      <c r="U27" s="72"/>
      <c r="V27" s="72"/>
    </row>
    <row r="29" spans="1:26" x14ac:dyDescent="0.3">
      <c r="A29" s="72" t="s">
        <v>49</v>
      </c>
      <c r="B29" s="72" t="s">
        <v>50</v>
      </c>
      <c r="C29" s="72" t="s">
        <v>13</v>
      </c>
      <c r="D29" s="72" t="s">
        <v>51</v>
      </c>
      <c r="E29" s="72" t="s">
        <v>10</v>
      </c>
      <c r="F29" s="72" t="s">
        <v>43</v>
      </c>
      <c r="G29" s="72" t="s">
        <v>44</v>
      </c>
      <c r="H29" s="72" t="s">
        <v>4</v>
      </c>
      <c r="I29" s="72" t="s">
        <v>45</v>
      </c>
      <c r="J29" s="72" t="s">
        <v>5</v>
      </c>
      <c r="K29" s="72" t="s">
        <v>6</v>
      </c>
      <c r="L29" s="72" t="s">
        <v>46</v>
      </c>
      <c r="M29" s="72" t="s">
        <v>47</v>
      </c>
      <c r="N29" s="72" t="s">
        <v>48</v>
      </c>
      <c r="O29" s="72" t="s">
        <v>102</v>
      </c>
      <c r="P29" s="72" t="s">
        <v>103</v>
      </c>
      <c r="Q29" s="72" t="s">
        <v>104</v>
      </c>
      <c r="R29" s="72" t="s">
        <v>105</v>
      </c>
    </row>
    <row r="30" spans="1:26" x14ac:dyDescent="0.3">
      <c r="A30" s="31" t="s">
        <v>109</v>
      </c>
      <c r="B30" s="31" t="s">
        <v>131</v>
      </c>
      <c r="C30" s="31" t="s">
        <v>132</v>
      </c>
      <c r="D30" s="31" t="s">
        <v>133</v>
      </c>
      <c r="E30" s="31">
        <v>-0.59</v>
      </c>
      <c r="F30" s="31"/>
      <c r="G30" s="31"/>
      <c r="H30" s="31"/>
      <c r="I30" s="31">
        <v>0</v>
      </c>
      <c r="J30" s="31"/>
      <c r="K30" s="31"/>
      <c r="L30" s="31"/>
      <c r="M30" s="31"/>
      <c r="N30" s="31"/>
      <c r="O30" s="72" t="s">
        <v>111</v>
      </c>
      <c r="P30" s="72" t="s">
        <v>128</v>
      </c>
      <c r="Q30" s="72"/>
      <c r="R30" s="72" t="s">
        <v>134</v>
      </c>
    </row>
    <row r="31" spans="1:26" x14ac:dyDescent="0.3">
      <c r="A31" s="72" t="s">
        <v>109</v>
      </c>
      <c r="B31" s="72" t="s">
        <v>52</v>
      </c>
      <c r="C31" s="72" t="s">
        <v>115</v>
      </c>
      <c r="D31" s="72"/>
      <c r="E31" s="72">
        <v>-496377</v>
      </c>
      <c r="F31" s="72"/>
      <c r="G31" s="72"/>
      <c r="H31" s="72">
        <v>-496377</v>
      </c>
      <c r="I31" s="72"/>
      <c r="J31" s="72"/>
      <c r="K31" s="72"/>
      <c r="L31" s="72"/>
      <c r="M31" s="72"/>
      <c r="N31" s="72"/>
      <c r="O31" s="72" t="s">
        <v>111</v>
      </c>
      <c r="P31" s="72" t="s">
        <v>112</v>
      </c>
      <c r="Q31" s="72"/>
      <c r="R31" s="72" t="s">
        <v>116</v>
      </c>
    </row>
    <row r="32" spans="1:26" x14ac:dyDescent="0.3">
      <c r="A32" s="72" t="s">
        <v>109</v>
      </c>
      <c r="B32" s="72" t="s">
        <v>52</v>
      </c>
      <c r="C32" s="72" t="s">
        <v>110</v>
      </c>
      <c r="D32" s="72" t="s">
        <v>113</v>
      </c>
      <c r="E32" s="72">
        <v>-289145</v>
      </c>
      <c r="F32" s="72"/>
      <c r="G32" s="72"/>
      <c r="H32" s="72"/>
      <c r="I32" s="72"/>
      <c r="J32" s="72"/>
      <c r="K32" s="72">
        <v>-289145</v>
      </c>
      <c r="L32" s="72"/>
      <c r="M32" s="72"/>
      <c r="N32" s="72"/>
      <c r="O32" s="72" t="s">
        <v>111</v>
      </c>
      <c r="P32" s="72" t="s">
        <v>112</v>
      </c>
      <c r="Q32" s="72"/>
      <c r="R32" s="72" t="s">
        <v>114</v>
      </c>
    </row>
    <row r="33" spans="1:26" x14ac:dyDescent="0.3">
      <c r="A33" s="72" t="s">
        <v>117</v>
      </c>
      <c r="B33" s="72" t="s">
        <v>96</v>
      </c>
      <c r="C33" s="72" t="s">
        <v>135</v>
      </c>
      <c r="D33" s="72" t="s">
        <v>123</v>
      </c>
      <c r="E33" s="72">
        <v>-156743</v>
      </c>
      <c r="F33" s="72"/>
      <c r="G33" s="72"/>
      <c r="H33" s="72">
        <v>-156743</v>
      </c>
      <c r="I33" s="72"/>
      <c r="J33" s="72"/>
      <c r="K33" s="72"/>
      <c r="L33" s="72"/>
      <c r="M33" s="72"/>
      <c r="N33" s="72"/>
      <c r="O33" s="72" t="s">
        <v>111</v>
      </c>
      <c r="P33" s="72" t="s">
        <v>112</v>
      </c>
      <c r="Q33" s="72"/>
      <c r="R33" s="72" t="s">
        <v>136</v>
      </c>
      <c r="S33" s="9"/>
      <c r="T33" s="9"/>
      <c r="U33" s="9"/>
      <c r="V33" s="9"/>
      <c r="W33" s="9"/>
      <c r="X33" s="9"/>
      <c r="Y33" s="9"/>
      <c r="Z33" s="9"/>
    </row>
    <row r="34" spans="1:26" x14ac:dyDescent="0.3">
      <c r="A34" s="72" t="s">
        <v>117</v>
      </c>
      <c r="B34" s="72" t="s">
        <v>52</v>
      </c>
      <c r="C34" s="72" t="s">
        <v>110</v>
      </c>
      <c r="D34" s="72" t="s">
        <v>113</v>
      </c>
      <c r="E34" s="72">
        <v>-289145</v>
      </c>
      <c r="F34" s="72"/>
      <c r="G34" s="72"/>
      <c r="H34" s="72"/>
      <c r="I34" s="72"/>
      <c r="J34" s="72"/>
      <c r="K34" s="72">
        <v>-289145</v>
      </c>
      <c r="L34" s="72"/>
      <c r="M34" s="72"/>
      <c r="N34" s="72"/>
      <c r="O34" s="72" t="s">
        <v>111</v>
      </c>
      <c r="P34" s="72" t="s">
        <v>112</v>
      </c>
      <c r="Q34" s="72"/>
      <c r="R34" s="72" t="s">
        <v>118</v>
      </c>
      <c r="S34" s="9"/>
      <c r="T34" s="9"/>
      <c r="U34" s="9"/>
      <c r="V34" s="9"/>
      <c r="W34" s="9"/>
      <c r="X34" s="9"/>
      <c r="Y34" s="9"/>
      <c r="Z34" s="9"/>
    </row>
    <row r="35" spans="1:26" x14ac:dyDescent="0.3">
      <c r="A35" s="72" t="s">
        <v>119</v>
      </c>
      <c r="B35" s="72" t="s">
        <v>96</v>
      </c>
      <c r="C35" s="72" t="s">
        <v>176</v>
      </c>
      <c r="D35" s="72" t="s">
        <v>177</v>
      </c>
      <c r="E35" s="72">
        <v>-100256</v>
      </c>
      <c r="F35" s="72"/>
      <c r="G35" s="72"/>
      <c r="H35" s="72">
        <v>-100256</v>
      </c>
      <c r="I35" s="72"/>
      <c r="J35" s="72"/>
      <c r="K35" s="72"/>
      <c r="L35" s="72"/>
      <c r="M35" s="72"/>
      <c r="N35" s="72"/>
      <c r="O35" s="72" t="s">
        <v>111</v>
      </c>
      <c r="P35" s="72" t="s">
        <v>128</v>
      </c>
      <c r="Q35" s="72"/>
      <c r="R35" s="72" t="s">
        <v>178</v>
      </c>
      <c r="S35" s="9"/>
      <c r="T35" s="9"/>
      <c r="U35" s="9"/>
      <c r="V35" s="9"/>
      <c r="W35" s="9"/>
      <c r="X35" s="9"/>
      <c r="Y35" s="9"/>
      <c r="Z35" s="9"/>
    </row>
    <row r="36" spans="1:26" x14ac:dyDescent="0.3">
      <c r="A36" s="25" t="s">
        <v>119</v>
      </c>
      <c r="B36" s="25" t="s">
        <v>52</v>
      </c>
      <c r="C36" s="25" t="s">
        <v>110</v>
      </c>
      <c r="D36" s="25" t="s">
        <v>113</v>
      </c>
      <c r="E36" s="25">
        <v>-289145</v>
      </c>
      <c r="H36" s="25"/>
      <c r="K36" s="25">
        <v>-289145</v>
      </c>
      <c r="O36" s="25" t="s">
        <v>111</v>
      </c>
      <c r="P36" s="25" t="s">
        <v>112</v>
      </c>
      <c r="R36" s="25" t="s">
        <v>120</v>
      </c>
      <c r="S36" s="9"/>
      <c r="T36" s="9"/>
      <c r="U36" s="9"/>
      <c r="V36" s="9"/>
      <c r="W36" s="9"/>
      <c r="X36" s="9"/>
      <c r="Y36" s="9"/>
      <c r="Z36" s="9"/>
    </row>
    <row r="37" spans="1:26" x14ac:dyDescent="0.3">
      <c r="A37" s="25" t="s">
        <v>121</v>
      </c>
      <c r="B37" s="25" t="s">
        <v>97</v>
      </c>
      <c r="C37" s="25" t="s">
        <v>176</v>
      </c>
      <c r="D37" s="25" t="s">
        <v>177</v>
      </c>
      <c r="E37" s="25">
        <v>85256</v>
      </c>
      <c r="H37" s="25">
        <v>85256</v>
      </c>
      <c r="O37" s="25" t="s">
        <v>128</v>
      </c>
      <c r="P37" s="25" t="s">
        <v>111</v>
      </c>
      <c r="R37" s="25" t="s">
        <v>178</v>
      </c>
      <c r="S37" s="9"/>
      <c r="T37" s="9"/>
      <c r="U37" s="9"/>
      <c r="V37" s="9"/>
      <c r="W37" s="9"/>
      <c r="X37" s="9"/>
      <c r="Y37" s="9"/>
      <c r="Z37" s="9"/>
    </row>
    <row r="38" spans="1:26" x14ac:dyDescent="0.3">
      <c r="A38" s="25" t="s">
        <v>121</v>
      </c>
      <c r="B38" s="25" t="s">
        <v>52</v>
      </c>
      <c r="C38" s="25" t="s">
        <v>110</v>
      </c>
      <c r="D38" s="25" t="s">
        <v>113</v>
      </c>
      <c r="E38" s="25">
        <v>-289145</v>
      </c>
      <c r="H38" s="25"/>
      <c r="K38" s="25">
        <v>-289145</v>
      </c>
      <c r="O38" s="25" t="s">
        <v>111</v>
      </c>
      <c r="P38" s="25" t="s">
        <v>112</v>
      </c>
      <c r="R38" s="25" t="s">
        <v>122</v>
      </c>
      <c r="S38" s="9"/>
      <c r="T38" s="9"/>
      <c r="U38" s="9"/>
      <c r="V38" s="9"/>
      <c r="W38" s="9"/>
      <c r="X38" s="9"/>
      <c r="Y38" s="9"/>
      <c r="Z38" s="9"/>
    </row>
    <row r="39" spans="1:26" x14ac:dyDescent="0.3">
      <c r="A39" s="25" t="s">
        <v>123</v>
      </c>
      <c r="B39" s="25" t="s">
        <v>97</v>
      </c>
      <c r="C39" s="25" t="s">
        <v>135</v>
      </c>
      <c r="D39" s="25" t="s">
        <v>123</v>
      </c>
      <c r="E39" s="25">
        <v>156743</v>
      </c>
      <c r="H39" s="25">
        <v>156743</v>
      </c>
      <c r="O39" s="25" t="s">
        <v>112</v>
      </c>
      <c r="P39" s="25" t="s">
        <v>111</v>
      </c>
      <c r="R39" s="25" t="s">
        <v>136</v>
      </c>
      <c r="S39" s="9"/>
      <c r="T39" s="9"/>
      <c r="U39" s="9"/>
      <c r="V39" s="9"/>
      <c r="W39" s="9"/>
      <c r="X39" s="9"/>
      <c r="Y39" s="9"/>
      <c r="Z39" s="9"/>
    </row>
    <row r="40" spans="1:26" x14ac:dyDescent="0.3">
      <c r="A40" s="25" t="s">
        <v>123</v>
      </c>
      <c r="B40" s="25" t="s">
        <v>97</v>
      </c>
      <c r="C40" s="25" t="s">
        <v>176</v>
      </c>
      <c r="D40" s="25" t="s">
        <v>177</v>
      </c>
      <c r="E40" s="25">
        <v>15000</v>
      </c>
      <c r="H40" s="25">
        <v>15000</v>
      </c>
      <c r="O40" s="25" t="s">
        <v>128</v>
      </c>
      <c r="P40" s="25" t="s">
        <v>111</v>
      </c>
      <c r="R40" s="25" t="s">
        <v>178</v>
      </c>
      <c r="S40" s="9"/>
      <c r="T40" s="9"/>
      <c r="U40" s="9"/>
      <c r="V40" s="9"/>
      <c r="W40" s="9"/>
      <c r="X40" s="9"/>
      <c r="Y40" s="9"/>
      <c r="Z40" s="9"/>
    </row>
    <row r="41" spans="1:26" x14ac:dyDescent="0.3">
      <c r="A41" s="141" t="s">
        <v>123</v>
      </c>
      <c r="B41" s="141" t="s">
        <v>52</v>
      </c>
      <c r="C41" s="141" t="s">
        <v>110</v>
      </c>
      <c r="D41" s="141" t="s">
        <v>124</v>
      </c>
      <c r="E41" s="141">
        <v>-289145</v>
      </c>
      <c r="F41" s="141"/>
      <c r="G41" s="141"/>
      <c r="H41" s="141"/>
      <c r="I41" s="141"/>
      <c r="J41" s="141"/>
      <c r="K41" s="141">
        <v>-289145</v>
      </c>
      <c r="L41" s="141"/>
      <c r="M41" s="141"/>
      <c r="N41" s="141"/>
      <c r="O41" s="141" t="s">
        <v>111</v>
      </c>
      <c r="P41" s="141" t="s">
        <v>112</v>
      </c>
      <c r="Q41" s="141"/>
      <c r="R41" s="141" t="s">
        <v>125</v>
      </c>
      <c r="W41" s="9"/>
      <c r="X41" s="9"/>
      <c r="Y41" s="9"/>
      <c r="Z41" s="9"/>
    </row>
    <row r="42" spans="1:26" x14ac:dyDescent="0.3">
      <c r="A42" s="145" t="s">
        <v>123</v>
      </c>
      <c r="B42" s="145" t="s">
        <v>52</v>
      </c>
      <c r="C42" s="145" t="s">
        <v>164</v>
      </c>
      <c r="D42" s="145" t="s">
        <v>133</v>
      </c>
      <c r="E42" s="145">
        <v>-532783</v>
      </c>
      <c r="F42" s="145"/>
      <c r="G42" s="145"/>
      <c r="H42" s="145">
        <v>-532783</v>
      </c>
      <c r="I42" s="145"/>
      <c r="J42" s="145"/>
      <c r="K42" s="145"/>
      <c r="L42" s="145"/>
      <c r="M42" s="145"/>
      <c r="N42" s="145"/>
      <c r="O42" s="145" t="s">
        <v>111</v>
      </c>
      <c r="P42" s="145" t="s">
        <v>128</v>
      </c>
      <c r="Q42" s="145" t="s">
        <v>165</v>
      </c>
      <c r="R42" s="145" t="s">
        <v>166</v>
      </c>
      <c r="W42" s="9"/>
      <c r="X42" s="9"/>
      <c r="Y42" s="9"/>
      <c r="Z42" s="9"/>
    </row>
    <row r="43" spans="1:26" x14ac:dyDescent="0.3">
      <c r="A43" s="145" t="s">
        <v>113</v>
      </c>
      <c r="B43" s="145" t="s">
        <v>52</v>
      </c>
      <c r="C43" s="145" t="s">
        <v>110</v>
      </c>
      <c r="D43" s="145" t="s">
        <v>124</v>
      </c>
      <c r="E43" s="145">
        <v>-289145</v>
      </c>
      <c r="F43" s="145"/>
      <c r="G43" s="145"/>
      <c r="H43" s="145"/>
      <c r="I43" s="145"/>
      <c r="J43" s="145"/>
      <c r="K43" s="145">
        <v>-289145</v>
      </c>
      <c r="L43" s="145"/>
      <c r="M43" s="145"/>
      <c r="N43" s="145"/>
      <c r="O43" s="145" t="s">
        <v>111</v>
      </c>
      <c r="P43" s="145" t="s">
        <v>112</v>
      </c>
      <c r="Q43" s="145"/>
      <c r="R43" s="145" t="s">
        <v>126</v>
      </c>
      <c r="W43" s="9"/>
      <c r="X43" s="9"/>
      <c r="Y43" s="9"/>
      <c r="Z43" s="9"/>
    </row>
    <row r="44" spans="1:26" x14ac:dyDescent="0.3">
      <c r="A44" s="145" t="s">
        <v>124</v>
      </c>
      <c r="B44" s="145" t="s">
        <v>52</v>
      </c>
      <c r="C44" s="145" t="s">
        <v>110</v>
      </c>
      <c r="D44" s="145" t="s">
        <v>124</v>
      </c>
      <c r="E44" s="145">
        <v>-289145</v>
      </c>
      <c r="F44" s="145"/>
      <c r="G44" s="145"/>
      <c r="H44" s="145"/>
      <c r="I44" s="145"/>
      <c r="J44" s="145"/>
      <c r="K44" s="145">
        <v>-289145</v>
      </c>
      <c r="L44" s="145"/>
      <c r="M44" s="145"/>
      <c r="N44" s="145"/>
      <c r="O44" s="145" t="s">
        <v>111</v>
      </c>
      <c r="P44" s="145" t="s">
        <v>112</v>
      </c>
      <c r="Q44" s="145"/>
      <c r="R44" s="145" t="s">
        <v>127</v>
      </c>
      <c r="W44" s="9"/>
      <c r="X44" s="9"/>
      <c r="Y44" s="9"/>
      <c r="Z44" s="9"/>
    </row>
    <row r="45" spans="1:26" x14ac:dyDescent="0.3">
      <c r="H45" s="25"/>
      <c r="W45" s="9"/>
      <c r="X45" s="9"/>
      <c r="Y45" s="9"/>
      <c r="Z45" s="9"/>
    </row>
    <row r="46" spans="1:26" x14ac:dyDescent="0.3">
      <c r="A46" s="133"/>
      <c r="B46" s="133"/>
      <c r="C46" s="133"/>
      <c r="D46" s="133"/>
      <c r="E46" s="133"/>
      <c r="F46" s="133"/>
      <c r="G46" s="133"/>
      <c r="H46" s="133"/>
      <c r="I46" s="133"/>
      <c r="J46" s="133"/>
      <c r="K46" s="133"/>
      <c r="L46" s="133"/>
      <c r="M46" s="133"/>
      <c r="N46" s="133"/>
      <c r="O46" s="133"/>
      <c r="P46" s="133"/>
      <c r="Q46" s="133"/>
      <c r="R46" s="133"/>
      <c r="W46" s="9"/>
      <c r="X46" s="9"/>
      <c r="Y46" s="9"/>
      <c r="Z46" s="9"/>
    </row>
    <row r="47" spans="1:26" x14ac:dyDescent="0.3">
      <c r="A47" s="133"/>
      <c r="B47" s="133"/>
      <c r="C47" s="133"/>
      <c r="D47" s="133"/>
      <c r="E47" s="133"/>
      <c r="F47" s="133"/>
      <c r="G47" s="133"/>
      <c r="H47" s="133"/>
      <c r="I47" s="133"/>
      <c r="J47" s="133"/>
      <c r="K47" s="133"/>
      <c r="L47" s="133"/>
      <c r="M47" s="133"/>
      <c r="N47" s="133"/>
      <c r="O47" s="133"/>
      <c r="P47" s="133"/>
      <c r="Q47" s="133"/>
      <c r="R47" s="133"/>
      <c r="W47" s="9"/>
      <c r="X47" s="9"/>
      <c r="Y47" s="9"/>
      <c r="Z47" s="9"/>
    </row>
    <row r="48" spans="1:26" x14ac:dyDescent="0.3">
      <c r="H48" s="25"/>
      <c r="W48" s="9"/>
      <c r="X48" s="9"/>
      <c r="Y48" s="9"/>
      <c r="Z48" s="9"/>
    </row>
    <row r="49" spans="8:26" x14ac:dyDescent="0.3">
      <c r="H49" s="25"/>
      <c r="W49" s="9"/>
      <c r="X49" s="9"/>
      <c r="Y49" s="9"/>
      <c r="Z49" s="9"/>
    </row>
    <row r="50" spans="8:26" x14ac:dyDescent="0.3">
      <c r="H50" s="25"/>
      <c r="W50" s="9"/>
      <c r="X50" s="9"/>
      <c r="Y50" s="9"/>
      <c r="Z50" s="9"/>
    </row>
    <row r="51" spans="8:26" x14ac:dyDescent="0.3">
      <c r="H51" s="25"/>
      <c r="W51" s="9"/>
      <c r="X51" s="9"/>
      <c r="Y51" s="9"/>
      <c r="Z51" s="9"/>
    </row>
    <row r="52" spans="8:26" x14ac:dyDescent="0.3">
      <c r="W52" s="9"/>
      <c r="X52" s="9"/>
      <c r="Y52" s="9"/>
      <c r="Z52" s="9"/>
    </row>
  </sheetData>
  <mergeCells count="5">
    <mergeCell ref="A1:F1"/>
    <mergeCell ref="A3:F3"/>
    <mergeCell ref="A9:G9"/>
    <mergeCell ref="A27:G27"/>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78" t="s">
        <v>14</v>
      </c>
      <c r="C1" s="178"/>
      <c r="D1" s="178"/>
      <c r="E1" s="178"/>
    </row>
    <row r="2" spans="1:5" ht="81.75" customHeight="1" x14ac:dyDescent="0.35">
      <c r="A2" s="1">
        <v>1</v>
      </c>
      <c r="B2" s="177" t="s">
        <v>16</v>
      </c>
      <c r="C2" s="177"/>
      <c r="D2" s="177"/>
      <c r="E2" s="177"/>
    </row>
    <row r="3" spans="1:5" x14ac:dyDescent="0.35">
      <c r="B3" s="3"/>
      <c r="C3" s="3"/>
      <c r="D3" s="3"/>
      <c r="E3" s="3"/>
    </row>
    <row r="4" spans="1:5" ht="33" customHeight="1" x14ac:dyDescent="0.35">
      <c r="A4" s="1">
        <v>2</v>
      </c>
      <c r="B4" s="177" t="s">
        <v>17</v>
      </c>
      <c r="C4" s="177"/>
      <c r="D4" s="177"/>
      <c r="E4" s="177"/>
    </row>
    <row r="5" spans="1:5" x14ac:dyDescent="0.35">
      <c r="B5" s="3"/>
      <c r="C5" s="3"/>
      <c r="D5" s="3"/>
      <c r="E5" s="3"/>
    </row>
    <row r="6" spans="1:5" s="17" customFormat="1" ht="114" customHeight="1" x14ac:dyDescent="0.35">
      <c r="A6" s="18">
        <v>3</v>
      </c>
      <c r="B6" s="182" t="s">
        <v>74</v>
      </c>
      <c r="C6" s="182"/>
      <c r="D6" s="182"/>
      <c r="E6" s="182"/>
    </row>
    <row r="7" spans="1:5" s="17" customFormat="1" x14ac:dyDescent="0.3">
      <c r="A7" s="18"/>
      <c r="B7" s="19"/>
      <c r="C7" s="19"/>
      <c r="D7" s="19"/>
      <c r="E7" s="19"/>
    </row>
    <row r="8" spans="1:5" ht="18" customHeight="1" x14ac:dyDescent="0.3">
      <c r="A8" s="1">
        <v>4</v>
      </c>
      <c r="B8" s="181" t="s">
        <v>65</v>
      </c>
      <c r="C8" s="181"/>
      <c r="D8" s="8"/>
      <c r="E8" s="8"/>
    </row>
    <row r="9" spans="1:5" ht="18" customHeight="1" x14ac:dyDescent="0.3">
      <c r="B9" s="180" t="s">
        <v>138</v>
      </c>
      <c r="C9" s="180"/>
      <c r="D9" s="13">
        <v>125000</v>
      </c>
    </row>
    <row r="10" spans="1:5" ht="18" customHeight="1" x14ac:dyDescent="0.3">
      <c r="B10" s="177" t="s">
        <v>139</v>
      </c>
      <c r="C10" s="177"/>
      <c r="D10" s="12">
        <v>-31250</v>
      </c>
    </row>
    <row r="11" spans="1:5" ht="18" customHeight="1" x14ac:dyDescent="0.3">
      <c r="B11" s="180" t="s">
        <v>140</v>
      </c>
      <c r="C11" s="180"/>
      <c r="D11" s="14">
        <f>+D9+D10</f>
        <v>93750</v>
      </c>
    </row>
    <row r="12" spans="1:5" ht="31.5" customHeight="1" x14ac:dyDescent="0.3">
      <c r="B12" s="177" t="s">
        <v>141</v>
      </c>
      <c r="C12" s="177"/>
      <c r="D12" s="11">
        <v>31250</v>
      </c>
    </row>
    <row r="13" spans="1:5" ht="36.75" customHeight="1" x14ac:dyDescent="0.3">
      <c r="B13" s="180" t="s">
        <v>142</v>
      </c>
      <c r="C13" s="180"/>
      <c r="D13" s="15">
        <f>SUM(D11:D12)</f>
        <v>125000</v>
      </c>
    </row>
    <row r="14" spans="1:5" s="17" customFormat="1" ht="18" customHeight="1" x14ac:dyDescent="0.3">
      <c r="A14" s="18"/>
      <c r="B14" s="22"/>
      <c r="C14" s="22"/>
      <c r="D14" s="23"/>
    </row>
    <row r="15" spans="1:5" s="17" customFormat="1" ht="84.75" customHeight="1" x14ac:dyDescent="0.3">
      <c r="A15" s="1">
        <v>5</v>
      </c>
      <c r="B15" s="179" t="s">
        <v>66</v>
      </c>
      <c r="C15" s="179"/>
      <c r="D15" s="179"/>
      <c r="E15" s="179"/>
    </row>
    <row r="16" spans="1:5" x14ac:dyDescent="0.3">
      <c r="B16" s="3"/>
      <c r="C16" s="3"/>
      <c r="D16" s="3"/>
      <c r="E16" s="3"/>
    </row>
    <row r="17" spans="1:5" ht="14.4" customHeight="1" x14ac:dyDescent="0.3">
      <c r="A17" s="1">
        <v>6</v>
      </c>
      <c r="B17" s="177" t="s">
        <v>162</v>
      </c>
      <c r="C17" s="177"/>
      <c r="D17" s="177"/>
      <c r="E17" s="177"/>
    </row>
    <row r="18" spans="1:5" x14ac:dyDescent="0.3">
      <c r="B18" s="10"/>
      <c r="C18" s="10"/>
      <c r="D18" s="10"/>
      <c r="E18" s="10"/>
    </row>
    <row r="19" spans="1:5" ht="33" customHeight="1" x14ac:dyDescent="0.3">
      <c r="A19" s="1">
        <v>7</v>
      </c>
      <c r="B19" s="177" t="s">
        <v>38</v>
      </c>
      <c r="C19" s="177"/>
      <c r="D19" s="177"/>
      <c r="E19" s="177"/>
    </row>
    <row r="20" spans="1:5" ht="14.25" customHeight="1" x14ac:dyDescent="0.3">
      <c r="B20" s="7"/>
      <c r="C20" s="7"/>
      <c r="D20" s="7"/>
      <c r="E20" s="7"/>
    </row>
    <row r="21" spans="1:5" ht="47.25" customHeight="1" x14ac:dyDescent="0.3">
      <c r="A21" s="1">
        <v>8</v>
      </c>
      <c r="B21" s="177" t="s">
        <v>39</v>
      </c>
      <c r="C21" s="177"/>
      <c r="D21" s="177"/>
      <c r="E21" s="177"/>
    </row>
    <row r="22" spans="1:5" ht="15" customHeight="1" x14ac:dyDescent="0.3">
      <c r="B22" s="7"/>
      <c r="C22" s="7"/>
      <c r="D22" s="7"/>
      <c r="E22" s="7"/>
    </row>
    <row r="23" spans="1:5" ht="32.25" customHeight="1" x14ac:dyDescent="0.3">
      <c r="A23" s="1">
        <v>9</v>
      </c>
      <c r="B23" s="177" t="s">
        <v>37</v>
      </c>
      <c r="C23" s="177"/>
      <c r="D23" s="177"/>
      <c r="E23" s="177"/>
    </row>
    <row r="24" spans="1:5" ht="15" customHeight="1" x14ac:dyDescent="0.3">
      <c r="B24" s="7"/>
      <c r="C24" s="7"/>
      <c r="D24" s="7"/>
      <c r="E24" s="7"/>
    </row>
    <row r="25" spans="1:5" ht="33" customHeight="1" x14ac:dyDescent="0.3">
      <c r="A25" s="1">
        <v>10</v>
      </c>
      <c r="B25" s="177" t="s">
        <v>40</v>
      </c>
      <c r="C25" s="177"/>
      <c r="D25" s="177"/>
      <c r="E25" s="177"/>
    </row>
    <row r="26" spans="1:5" x14ac:dyDescent="0.3">
      <c r="B26" s="3"/>
      <c r="C26" s="3"/>
      <c r="D26" s="3"/>
      <c r="E26" s="3"/>
    </row>
    <row r="27" spans="1:5" ht="30" customHeight="1" x14ac:dyDescent="0.3">
      <c r="A27" s="1">
        <v>11</v>
      </c>
      <c r="B27" s="177" t="s">
        <v>41</v>
      </c>
      <c r="C27" s="177"/>
      <c r="D27" s="177"/>
      <c r="E27" s="177"/>
    </row>
    <row r="28" spans="1:5" x14ac:dyDescent="0.3">
      <c r="B28" s="3"/>
      <c r="C28" s="3"/>
      <c r="D28" s="3"/>
      <c r="E28" s="3"/>
    </row>
    <row r="29" spans="1:5" ht="31.5" customHeight="1" x14ac:dyDescent="0.3">
      <c r="A29" s="1">
        <v>12</v>
      </c>
      <c r="B29" s="177" t="s">
        <v>42</v>
      </c>
      <c r="C29" s="177"/>
      <c r="D29" s="177"/>
      <c r="E29" s="177"/>
    </row>
    <row r="30" spans="1:5" x14ac:dyDescent="0.3">
      <c r="B30" s="7"/>
      <c r="C30" s="7"/>
      <c r="D30" s="7"/>
      <c r="E30" s="7"/>
    </row>
    <row r="31" spans="1:5" ht="34.5" customHeight="1" x14ac:dyDescent="0.3">
      <c r="A31" s="1">
        <v>13</v>
      </c>
      <c r="B31" s="177" t="s">
        <v>18</v>
      </c>
      <c r="C31" s="177"/>
      <c r="D31" s="177"/>
      <c r="E31" s="177"/>
    </row>
    <row r="32" spans="1:5" ht="16.5" customHeight="1" x14ac:dyDescent="0.3">
      <c r="B32" s="3"/>
      <c r="C32" s="3"/>
      <c r="D32" s="3"/>
      <c r="E32" s="3"/>
    </row>
    <row r="33" spans="1:5" ht="64.5" customHeight="1" x14ac:dyDescent="0.3">
      <c r="A33" s="1">
        <v>14</v>
      </c>
      <c r="B33" s="177" t="s">
        <v>19</v>
      </c>
      <c r="C33" s="177"/>
      <c r="D33" s="177"/>
      <c r="E33" s="177"/>
    </row>
    <row r="34" spans="1:5" ht="14.25" customHeight="1" x14ac:dyDescent="0.3">
      <c r="B34" s="3"/>
      <c r="C34" s="3"/>
      <c r="D34" s="3"/>
      <c r="E34" s="3"/>
    </row>
    <row r="35" spans="1:5" x14ac:dyDescent="0.3">
      <c r="A35" s="1">
        <v>15</v>
      </c>
      <c r="B35" s="181" t="s">
        <v>34</v>
      </c>
      <c r="C35" s="181"/>
      <c r="D35" s="181"/>
      <c r="E35" s="181"/>
    </row>
    <row r="36" spans="1:5" x14ac:dyDescent="0.3">
      <c r="B36" s="16" t="s">
        <v>7</v>
      </c>
      <c r="C36" s="175" t="s">
        <v>20</v>
      </c>
      <c r="D36" s="175"/>
      <c r="E36" s="175"/>
    </row>
    <row r="37" spans="1:5" x14ac:dyDescent="0.3">
      <c r="B37" s="5" t="s">
        <v>21</v>
      </c>
      <c r="C37" s="176" t="s">
        <v>28</v>
      </c>
      <c r="D37" s="176"/>
      <c r="E37" s="176"/>
    </row>
    <row r="38" spans="1:5" x14ac:dyDescent="0.3">
      <c r="B38" s="16" t="s">
        <v>22</v>
      </c>
      <c r="C38" s="175" t="s">
        <v>29</v>
      </c>
      <c r="D38" s="175"/>
      <c r="E38" s="175"/>
    </row>
    <row r="39" spans="1:5" x14ac:dyDescent="0.3">
      <c r="B39" s="5" t="s">
        <v>23</v>
      </c>
      <c r="C39" s="176" t="s">
        <v>32</v>
      </c>
      <c r="D39" s="176"/>
      <c r="E39" s="176"/>
    </row>
    <row r="40" spans="1:5" x14ac:dyDescent="0.3">
      <c r="B40" s="16" t="s">
        <v>9</v>
      </c>
      <c r="C40" s="175" t="s">
        <v>30</v>
      </c>
      <c r="D40" s="175"/>
      <c r="E40" s="175"/>
    </row>
    <row r="41" spans="1:5" x14ac:dyDescent="0.3">
      <c r="B41" s="5" t="s">
        <v>8</v>
      </c>
      <c r="C41" s="176" t="s">
        <v>24</v>
      </c>
      <c r="D41" s="176"/>
      <c r="E41" s="176"/>
    </row>
    <row r="42" spans="1:5" x14ac:dyDescent="0.3">
      <c r="B42" s="16" t="s">
        <v>25</v>
      </c>
      <c r="C42" s="175" t="s">
        <v>26</v>
      </c>
      <c r="D42" s="175"/>
      <c r="E42" s="175"/>
    </row>
    <row r="43" spans="1:5" x14ac:dyDescent="0.3">
      <c r="B43" s="5" t="s">
        <v>27</v>
      </c>
      <c r="C43" s="176" t="s">
        <v>31</v>
      </c>
      <c r="D43" s="176"/>
      <c r="E43" s="176"/>
    </row>
    <row r="44" spans="1:5" s="17" customFormat="1" x14ac:dyDescent="0.3">
      <c r="A44" s="18"/>
      <c r="B44" s="20"/>
      <c r="C44" s="21"/>
      <c r="D44" s="21"/>
      <c r="E44" s="21"/>
    </row>
    <row r="45" spans="1:5" s="17" customFormat="1" x14ac:dyDescent="0.3">
      <c r="A45" s="18">
        <v>16</v>
      </c>
      <c r="B45" s="24" t="s">
        <v>75</v>
      </c>
      <c r="C45" s="21"/>
      <c r="D45" s="21"/>
      <c r="E45" s="21"/>
    </row>
    <row r="46" spans="1:5" s="17" customFormat="1" ht="30" customHeight="1" x14ac:dyDescent="0.3">
      <c r="A46" s="18"/>
      <c r="B46" s="16" t="s">
        <v>56</v>
      </c>
      <c r="C46" s="175" t="s">
        <v>77</v>
      </c>
      <c r="D46" s="175"/>
      <c r="E46" s="175"/>
    </row>
    <row r="47" spans="1:5" s="17" customFormat="1" x14ac:dyDescent="0.3">
      <c r="A47" s="18"/>
      <c r="B47" s="20" t="s">
        <v>57</v>
      </c>
      <c r="C47" s="176" t="s">
        <v>76</v>
      </c>
      <c r="D47" s="176"/>
      <c r="E47" s="176"/>
    </row>
    <row r="48" spans="1:5" s="17" customFormat="1" ht="48.75" customHeight="1" x14ac:dyDescent="0.3">
      <c r="A48" s="18"/>
      <c r="B48" s="16" t="s">
        <v>58</v>
      </c>
      <c r="C48" s="175" t="s">
        <v>79</v>
      </c>
      <c r="D48" s="175"/>
      <c r="E48" s="175"/>
    </row>
    <row r="49" spans="1:5" s="17" customFormat="1" ht="29.25" customHeight="1" x14ac:dyDescent="0.3">
      <c r="A49" s="18"/>
      <c r="B49" s="20" t="s">
        <v>59</v>
      </c>
      <c r="C49" s="176" t="s">
        <v>78</v>
      </c>
      <c r="D49" s="176"/>
      <c r="E49" s="176"/>
    </row>
    <row r="50" spans="1:5" x14ac:dyDescent="0.3">
      <c r="B50" s="5"/>
      <c r="C50" s="6"/>
      <c r="D50" s="6"/>
      <c r="E50" s="6"/>
    </row>
    <row r="51" spans="1:5" ht="94.5" customHeight="1" x14ac:dyDescent="0.3">
      <c r="A51" s="1">
        <v>17</v>
      </c>
      <c r="B51" s="184" t="s">
        <v>33</v>
      </c>
      <c r="C51" s="184"/>
      <c r="D51" s="184"/>
      <c r="E51" s="184"/>
    </row>
    <row r="53" spans="1:5" x14ac:dyDescent="0.3">
      <c r="B53" s="2"/>
    </row>
    <row r="54" spans="1:5" x14ac:dyDescent="0.3">
      <c r="A54" s="183" t="s">
        <v>35</v>
      </c>
      <c r="B54" s="183"/>
      <c r="C54" s="183"/>
      <c r="D54" s="183"/>
      <c r="E54" s="18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2013-12-10T16:28:59Z</cp:lastPrinted>
  <dcterms:created xsi:type="dcterms:W3CDTF">2013-05-11T20:19:37Z</dcterms:created>
  <dcterms:modified xsi:type="dcterms:W3CDTF">2016-09-19T20:58:50Z</dcterms:modified>
</cp:coreProperties>
</file>