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DC4" lockStructure="1"/>
  <bookViews>
    <workbookView xWindow="0" yWindow="0" windowWidth="15480" windowHeight="7755"/>
  </bookViews>
  <sheets>
    <sheet name="Federal Funds Transactions" sheetId="1" r:id="rId1"/>
    <sheet name="Regional Loans and Transfers" sheetId="3" r:id="rId2"/>
    <sheet name="Notes" sheetId="2" r:id="rId3"/>
  </sheets>
  <definedNames>
    <definedName name="MAG_GANS_DEBT_SERVICE" localSheetId="1" hidden="1">'Regional Loans and Transfers'!$A$45:$F$67</definedName>
    <definedName name="MAG_Ledger_Authorized" localSheetId="0" hidden="1">'Federal Funds Transactions'!$A$18:$U$241</definedName>
    <definedName name="MAG_Ledger_Not_Authorized" localSheetId="0" hidden="1">'Federal Funds Transactions'!$A$248:$U$249</definedName>
    <definedName name="MAG_OA_Transfers" localSheetId="1" hidden="1">'Regional Loans and Transfers'!#REF!</definedName>
    <definedName name="MAGqryLedgerApports" localSheetId="1" hidden="1">'Regional Loans and Transfers'!$A$10:$R$25</definedName>
    <definedName name="MAGqryLedgerOA" localSheetId="1" hidden="1">'Regional Loans and Transfers'!$A$28:$R$43</definedName>
    <definedName name="PAG_Apportionment_Loans" localSheetId="0" hidden="1">'Federal Funds Transactions'!#REF!</definedName>
    <definedName name="PAG_Apportionment_Transfers" localSheetId="0" hidden="1">'Federal Funds Transactions'!#REF!</definedName>
    <definedName name="PAG_Ledger_Not_Authorized" localSheetId="0" hidden="1">'Federal Funds Transactions'!#REF!</definedName>
    <definedName name="PAG_OA_Loans" localSheetId="0" hidden="1">'Federal Funds Transactions'!#REF!</definedName>
    <definedName name="PAG_OA_Transfers" localSheetId="0" hidden="1">'Federal Funds Transactions'!#REF!</definedName>
    <definedName name="_xlnm.Print_Area" localSheetId="0">'Federal Funds Transactions'!$A$1:$W$262</definedName>
    <definedName name="_xlnm.Print_Titles" localSheetId="0">'Federal Funds Transactions'!$1:$15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1" l="1"/>
  <c r="E68" i="3" l="1"/>
  <c r="V13" i="1" l="1"/>
  <c r="R5" i="1" l="1"/>
  <c r="U5" i="1" s="1"/>
  <c r="M250" i="1"/>
  <c r="N250" i="1"/>
  <c r="O250" i="1"/>
  <c r="P250" i="1"/>
  <c r="Q250" i="1"/>
  <c r="R250" i="1"/>
  <c r="S250" i="1"/>
  <c r="T250" i="1"/>
  <c r="U250" i="1"/>
  <c r="L250" i="1"/>
  <c r="M242" i="1"/>
  <c r="N242" i="1"/>
  <c r="O242" i="1"/>
  <c r="P242" i="1"/>
  <c r="Q242" i="1"/>
  <c r="R242" i="1"/>
  <c r="S242" i="1"/>
  <c r="T242" i="1"/>
  <c r="U242" i="1"/>
  <c r="L242" i="1"/>
  <c r="V12" i="1"/>
  <c r="V11" i="1"/>
  <c r="V10" i="1"/>
  <c r="V9" i="1"/>
  <c r="V8" i="1"/>
  <c r="V7" i="1"/>
  <c r="T12" i="1" l="1"/>
  <c r="S12" i="1"/>
  <c r="R12" i="1"/>
  <c r="Q12" i="1"/>
  <c r="P12" i="1"/>
  <c r="O12" i="1"/>
  <c r="N12" i="1"/>
  <c r="M12" i="1"/>
  <c r="L12" i="1"/>
  <c r="T11" i="1"/>
  <c r="S11" i="1"/>
  <c r="R11" i="1"/>
  <c r="Q11" i="1"/>
  <c r="P11" i="1"/>
  <c r="O11" i="1"/>
  <c r="N11" i="1"/>
  <c r="M11" i="1"/>
  <c r="L11" i="1"/>
  <c r="T10" i="1"/>
  <c r="S10" i="1"/>
  <c r="R10" i="1"/>
  <c r="Q10" i="1"/>
  <c r="P10" i="1"/>
  <c r="O10" i="1"/>
  <c r="N10" i="1"/>
  <c r="M10" i="1"/>
  <c r="L10" i="1"/>
  <c r="T9" i="1"/>
  <c r="S9" i="1"/>
  <c r="R9" i="1"/>
  <c r="Q9" i="1"/>
  <c r="P9" i="1"/>
  <c r="O9" i="1"/>
  <c r="N9" i="1"/>
  <c r="M9" i="1"/>
  <c r="L9" i="1"/>
  <c r="T8" i="1"/>
  <c r="S8" i="1"/>
  <c r="R8" i="1"/>
  <c r="Q8" i="1"/>
  <c r="P8" i="1"/>
  <c r="O8" i="1"/>
  <c r="N8" i="1"/>
  <c r="M8" i="1"/>
  <c r="L8" i="1"/>
  <c r="T7" i="1"/>
  <c r="S7" i="1"/>
  <c r="R7" i="1"/>
  <c r="Q7" i="1"/>
  <c r="P7" i="1"/>
  <c r="O7" i="1"/>
  <c r="O14" i="1" s="1"/>
  <c r="N7" i="1"/>
  <c r="M7" i="1"/>
  <c r="M14" i="1" s="1"/>
  <c r="L7" i="1"/>
  <c r="N14" i="1" l="1"/>
  <c r="P14" i="1"/>
  <c r="P243" i="1" s="1"/>
  <c r="P251" i="1" s="1"/>
  <c r="P257" i="1" s="1"/>
  <c r="R14" i="1"/>
  <c r="T14" i="1"/>
  <c r="O243" i="1"/>
  <c r="O251" i="1" s="1"/>
  <c r="O257" i="1" s="1"/>
  <c r="T243" i="1"/>
  <c r="T251" i="1" s="1"/>
  <c r="T257" i="1" s="1"/>
  <c r="M243" i="1"/>
  <c r="M251" i="1" s="1"/>
  <c r="M257" i="1" s="1"/>
  <c r="N243" i="1"/>
  <c r="N251" i="1" s="1"/>
  <c r="N256" i="1" s="1"/>
  <c r="U12" i="1"/>
  <c r="U11" i="1"/>
  <c r="U10" i="1"/>
  <c r="U9" i="1"/>
  <c r="U8" i="1"/>
  <c r="U7" i="1"/>
  <c r="N257" i="1" l="1"/>
  <c r="U256" i="1"/>
  <c r="L4" i="1"/>
  <c r="L14" i="1" s="1"/>
  <c r="L243" i="1" l="1"/>
  <c r="L251" i="1" s="1"/>
  <c r="L257" i="1" s="1"/>
  <c r="R243" i="1"/>
  <c r="R251" i="1" s="1"/>
  <c r="R257" i="1" s="1"/>
  <c r="U4" i="1" l="1"/>
  <c r="S6" i="1"/>
  <c r="Q6" i="1"/>
  <c r="Q14" i="1" l="1"/>
  <c r="Q243" i="1" s="1"/>
  <c r="Q251" i="1" s="1"/>
  <c r="Q257" i="1" s="1"/>
  <c r="S14" i="1"/>
  <c r="S243" i="1" s="1"/>
  <c r="S251" i="1" s="1"/>
  <c r="S257" i="1" s="1"/>
  <c r="U6" i="1"/>
  <c r="U14" i="1" s="1"/>
  <c r="V6" i="1" l="1"/>
  <c r="V14"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V57" i="1" s="1"/>
  <c r="V58" i="1" s="1"/>
  <c r="V59" i="1" s="1"/>
  <c r="V60" i="1" s="1"/>
  <c r="V61" i="1" s="1"/>
  <c r="V62" i="1" s="1"/>
  <c r="V63" i="1" s="1"/>
  <c r="V64" i="1" s="1"/>
  <c r="V65" i="1" s="1"/>
  <c r="V66" i="1" s="1"/>
  <c r="V67" i="1" s="1"/>
  <c r="V68" i="1" s="1"/>
  <c r="V69" i="1" s="1"/>
  <c r="V70" i="1" s="1"/>
  <c r="V71" i="1" s="1"/>
  <c r="V72" i="1" s="1"/>
  <c r="V73" i="1" s="1"/>
  <c r="V74" i="1" s="1"/>
  <c r="V75" i="1" s="1"/>
  <c r="V76" i="1" s="1"/>
  <c r="V77" i="1" s="1"/>
  <c r="V78" i="1" s="1"/>
  <c r="V79" i="1" s="1"/>
  <c r="V80" i="1" s="1"/>
  <c r="V81" i="1" s="1"/>
  <c r="V82" i="1" s="1"/>
  <c r="V83" i="1" s="1"/>
  <c r="V84" i="1" s="1"/>
  <c r="V85" i="1" s="1"/>
  <c r="V86" i="1" s="1"/>
  <c r="V87" i="1" s="1"/>
  <c r="V88" i="1" s="1"/>
  <c r="V89" i="1" s="1"/>
  <c r="V90" i="1" s="1"/>
  <c r="V91" i="1" s="1"/>
  <c r="V92" i="1" s="1"/>
  <c r="V93" i="1" s="1"/>
  <c r="V94" i="1" s="1"/>
  <c r="V95" i="1" s="1"/>
  <c r="V96" i="1" s="1"/>
  <c r="V97" i="1" s="1"/>
  <c r="V98" i="1" s="1"/>
  <c r="V99" i="1" s="1"/>
  <c r="V100" i="1" s="1"/>
  <c r="V101" i="1" s="1"/>
  <c r="V102" i="1" s="1"/>
  <c r="V103" i="1" s="1"/>
  <c r="V104" i="1" s="1"/>
  <c r="V105" i="1" s="1"/>
  <c r="V106" i="1" s="1"/>
  <c r="V107" i="1" s="1"/>
  <c r="V108" i="1" s="1"/>
  <c r="V109" i="1" s="1"/>
  <c r="V110" i="1" s="1"/>
  <c r="V111" i="1" s="1"/>
  <c r="V112" i="1" s="1"/>
  <c r="V113" i="1" s="1"/>
  <c r="V114" i="1" s="1"/>
  <c r="V115" i="1" s="1"/>
  <c r="V116" i="1" s="1"/>
  <c r="V117" i="1" s="1"/>
  <c r="V118" i="1" s="1"/>
  <c r="V119" i="1" s="1"/>
  <c r="V120" i="1" s="1"/>
  <c r="V121" i="1" s="1"/>
  <c r="V122" i="1" s="1"/>
  <c r="V123" i="1" s="1"/>
  <c r="V124" i="1" s="1"/>
  <c r="V125" i="1" s="1"/>
  <c r="V126" i="1" s="1"/>
  <c r="V127" i="1" s="1"/>
  <c r="V128" i="1" s="1"/>
  <c r="V129" i="1" s="1"/>
  <c r="V130" i="1" s="1"/>
  <c r="V131" i="1" s="1"/>
  <c r="V132" i="1" s="1"/>
  <c r="V133" i="1" s="1"/>
  <c r="V134" i="1" s="1"/>
  <c r="V135" i="1" s="1"/>
  <c r="V136" i="1" s="1"/>
  <c r="V137" i="1" s="1"/>
  <c r="V138" i="1" s="1"/>
  <c r="V139" i="1" s="1"/>
  <c r="V140" i="1" s="1"/>
  <c r="V141" i="1" s="1"/>
  <c r="V142" i="1" s="1"/>
  <c r="V143" i="1" s="1"/>
  <c r="V144" i="1" s="1"/>
  <c r="V145" i="1" s="1"/>
  <c r="V146" i="1" s="1"/>
  <c r="V147" i="1" s="1"/>
  <c r="V148" i="1" s="1"/>
  <c r="V149" i="1" s="1"/>
  <c r="V150" i="1" s="1"/>
  <c r="V151" i="1" s="1"/>
  <c r="V152" i="1" s="1"/>
  <c r="V153" i="1" s="1"/>
  <c r="V154" i="1" s="1"/>
  <c r="V155" i="1" s="1"/>
  <c r="V156" i="1" s="1"/>
  <c r="V157" i="1" s="1"/>
  <c r="V158" i="1" s="1"/>
  <c r="V159" i="1" s="1"/>
  <c r="V160" i="1" s="1"/>
  <c r="V161" i="1" s="1"/>
  <c r="V162" i="1" s="1"/>
  <c r="V163" i="1" s="1"/>
  <c r="V164" i="1" s="1"/>
  <c r="V165" i="1" s="1"/>
  <c r="V166" i="1" s="1"/>
  <c r="V167" i="1" s="1"/>
  <c r="V168" i="1" s="1"/>
  <c r="V169" i="1" s="1"/>
  <c r="V170" i="1" s="1"/>
  <c r="V171" i="1" s="1"/>
  <c r="V172" i="1" s="1"/>
  <c r="V173" i="1" s="1"/>
  <c r="V174" i="1" s="1"/>
  <c r="V175" i="1" s="1"/>
  <c r="V176" i="1" s="1"/>
  <c r="V177" i="1" s="1"/>
  <c r="V178" i="1" s="1"/>
  <c r="V179" i="1" s="1"/>
  <c r="V180" i="1" s="1"/>
  <c r="V181" i="1" s="1"/>
  <c r="V182" i="1" s="1"/>
  <c r="V183" i="1" s="1"/>
  <c r="V184" i="1" s="1"/>
  <c r="V185" i="1" s="1"/>
  <c r="V186" i="1" s="1"/>
  <c r="V187" i="1" s="1"/>
  <c r="V188" i="1" s="1"/>
  <c r="V189" i="1" s="1"/>
  <c r="V190" i="1" s="1"/>
  <c r="V191" i="1" s="1"/>
  <c r="V192" i="1" s="1"/>
  <c r="V193" i="1" s="1"/>
  <c r="V194" i="1" s="1"/>
  <c r="V195" i="1" s="1"/>
  <c r="V196" i="1" s="1"/>
  <c r="V197" i="1" s="1"/>
  <c r="V198" i="1" s="1"/>
  <c r="V199" i="1" s="1"/>
  <c r="V200" i="1" s="1"/>
  <c r="V201" i="1" s="1"/>
  <c r="V202" i="1" s="1"/>
  <c r="V203" i="1" s="1"/>
  <c r="V204" i="1" s="1"/>
  <c r="V205" i="1" s="1"/>
  <c r="V206" i="1" s="1"/>
  <c r="V207" i="1" s="1"/>
  <c r="V208" i="1" s="1"/>
  <c r="V209" i="1" s="1"/>
  <c r="V210" i="1" s="1"/>
  <c r="V211" i="1" s="1"/>
  <c r="V212" i="1" s="1"/>
  <c r="V213" i="1" s="1"/>
  <c r="V214" i="1" s="1"/>
  <c r="V215" i="1" s="1"/>
  <c r="V216" i="1" s="1"/>
  <c r="V217" i="1" s="1"/>
  <c r="V218" i="1" s="1"/>
  <c r="V219" i="1" s="1"/>
  <c r="V220" i="1" s="1"/>
  <c r="V221" i="1" s="1"/>
  <c r="V222" i="1" s="1"/>
  <c r="V223" i="1" s="1"/>
  <c r="V224" i="1" s="1"/>
  <c r="V225" i="1" s="1"/>
  <c r="V226" i="1" s="1"/>
  <c r="V227" i="1" s="1"/>
  <c r="V228" i="1" s="1"/>
  <c r="V229" i="1" s="1"/>
  <c r="V230" i="1" s="1"/>
  <c r="V231" i="1" s="1"/>
  <c r="V232" i="1" s="1"/>
  <c r="V233" i="1" s="1"/>
  <c r="V234" i="1" s="1"/>
  <c r="V235" i="1" s="1"/>
  <c r="V236" i="1" s="1"/>
  <c r="V237" i="1" s="1"/>
  <c r="V238" i="1" s="1"/>
  <c r="V239" i="1" s="1"/>
  <c r="V240" i="1" s="1"/>
  <c r="V241" i="1" s="1"/>
  <c r="V249" i="1" s="1"/>
  <c r="U243" i="1"/>
  <c r="U251" i="1" s="1"/>
  <c r="U257" i="1" s="1"/>
</calcChain>
</file>

<file path=xl/connections.xml><?xml version="1.0" encoding="utf-8"?>
<connections xmlns="http://schemas.openxmlformats.org/spreadsheetml/2006/main">
  <connection id="1" name="MAG GANS DEBT SERVICE" type="1" refreshedVersion="4" background="1" saveData="1">
    <dbPr connection="DSN=MS Access Database;DBQ=C:\Documents and Settings\c4881\My Documents\071213 Front End1.accdb;DefaultDir=C:\Documents and Settings\c4881\My Documents;DriverId=25;FIL=MS Access;MaxBufferSize=2048;PageTimeout=5;" command="SELECT `MAG GANS`.Project8, `MAG GANS`.`GANS YEAR`, `MAG GANS`.FundingType, `MAG GANS`.ApportionmentAmount, `MAG GANS`.OAAmount, `MAG GANS`.Notes_x000d__x000a_FROM `MAG GANS` `MAG GANS`"/>
  </connection>
  <connection id="2" name="MAG_Ledger_Authorized" type="1" refreshedVersion="4" background="1" saveData="1">
    <dbPr connection="DSN=MS Access Database;DBQ=G:\FMS\RESOURCE\PGMANA\FY13 FILES\Transaction Log\071213 Front End1.accdb;DefaultDir=G:\FMS\RESOURCE\PGMANA\FY13 FILES\Transaction Log;DriverId=25;FIL=MS Access;MaxBufferSize=2048;PageTimeout=5;" command="SELECT MAG_Ledger_Authorized_Crosstab.Entity, MAG_Ledger_Authorized_Crosstab.`TIP#`, MAG_Ledger_Authorized_Crosstab.`ADOT#`, MAG_Ledger_Authorized_Crosstab.Suffix, MAG_Ledger_Authorized_Crosstab.`Fed#`, MAG_Ledger_Authorized_Crosstab.Location, MAG_Ledger_Authorized_Crosstab.Sponsor, MAG_Ledger_Authorized_Crosstab.`Action /13`, MAG_Ledger_Authorized_Crosstab.`Submitted to FMS`, MAG_Ledger_Authorized_Crosstab.`Submitted to FHWA`, MAG_Ledger_Authorized_Crosstab.`FHWA Authorization`, MAG_Ledger_Authorized_Crosstab.CMAQ, MAG_Ledger_Authorized_Crosstab.`CMAQ 2_5`, MAG_Ledger_Authorized_Crosstab.HSIP, MAG_Ledger_Authorized_Crosstab.PL, MAG_Ledger_Authorized_Crosstab.SPR, MAG_Ledger_Authorized_Crosstab.`STP other`, MAG_Ledger_Authorized_Crosstab.`STP over 200K`, MAG_Ledger_Authorized_Crosstab.`TA other`, MAG_Ledger_Authorized_Crosstab.`TA over 200K`, MAG_Ledger_Authorized_Crosstab.`Federal Amount`  FROM MAG_Ledger_Authorized_Crosstab MAG_Ledger_Authorized_Crosstab"/>
  </connection>
  <connection id="3" name="MAG_Ledger_Not_Authorized" type="1" refreshedVersion="4" background="1" saveData="1">
    <dbPr connection="DSN=MS Access Database;DBQ=G:\FMS\RESOURCE\PGMANA\FY13 FILES\Transaction Log\071213 Front End1.accdb;DefaultDir=G:\FMS\RESOURCE\PGMANA\FY13 FILES\Transaction Log;DriverId=25;FIL=MS Access;MaxBufferSize=2048;PageTimeout=5;" command="SELECT MAG_Ledger_NotAuthorized_Crosstab.Entity, MAG_Ledger_NotAuthorized_Crosstab.`TIP#`, MAG_Ledger_NotAuthorized_Crosstab.`ADOT#`, MAG_Ledger_NotAuthorized_Crosstab.Suffix, MAG_Ledger_NotAuthorized_Crosstab.`Fed#`, MAG_Ledger_NotAuthorized_Crosstab.Location, MAG_Ledger_NotAuthorized_Crosstab.Sponsor, MAG_Ledger_NotAuthorized_Crosstab.Action, MAG_Ledger_NotAuthorized_Crosstab.`Submitted to FMS`, MAG_Ledger_NotAuthorized_Crosstab.`Submitted to FHWA`, MAG_Ledger_NotAuthorized_Crosstab.`FHWA Authorization`, MAG_Ledger_NotAuthorized_Crosstab.CMAQ, MAG_Ledger_NotAuthorized_Crosstab.`CMAQ 2_5`, MAG_Ledger_NotAuthorized_Crosstab.HSIP, MAG_Ledger_NotAuthorized_Crosstab.PL, MAG_Ledger_NotAuthorized_Crosstab.SPR, MAG_Ledger_NotAuthorized_Crosstab.`STP other`, MAG_Ledger_NotAuthorized_Crosstab.`STP over 200K`, MAG_Ledger_NotAuthorized_Crosstab.`TA other`, MAG_Ledger_NotAuthorized_Crosstab.`TA over 200K`, MAG_Ledger_NotAuthorized_Crosstab.`Federal Amount`  FROM MAG_Ledger_NotAuthorized_Crosstab MAG_Ledger_NotAuthorized_Crosstab"/>
  </connection>
  <connection id="4" name="MAGqryLedgerApports" type="1" refreshedVersion="4" background="1" saveData="1">
    <dbPr connection="DSN=MS Access Database;DBQ=G:\FMS\RESOURCE\PGMANA\FY13 FILES\Transaction Log\071213 Front End1.accdb;DefaultDir=G:\FMS\RESOURCE\PGMANA\FY13 FILES\Transaction Log;DriverId=25;FIL=MS Access;MaxBufferSize=2048;PageTimeout=5;" command="SELECT MAGqryLedgerApportsCrosstab.`Transaction Year`, MAGqryLedgerApportsCrosstab.`Transaction Type`, MAGqryLedgerApportsCrosstab.Number, MAGqryLedgerApportsCrosstab.`From`, MAGqryLedgerApportsCrosstab.To, MAGqryLedgerApportsCrosstab.`Repayment Year`, MAGqryLedgerApportsCrosstab.Project8, MAGqryLedgerApportsCrosstab.Notes, MAGqryLedgerApportsCrosstab.Total, MAGqryLedgerApportsCrosstab.CMAQ, MAGqryLedgerApportsCrosstab.`CMAQ 2_5`, MAGqryLedgerApportsCrosstab.HSIP, MAGqryLedgerApportsCrosstab.PL, MAGqryLedgerApportsCrosstab.SPR, MAGqryLedgerApportsCrosstab.`STP other`, MAGqryLedgerApportsCrosstab.`STP over 200K`, MAGqryLedgerApportsCrosstab.`TA other`, MAGqryLedgerApportsCrosstab.`TA over 200K`_x000d__x000a_FROM MAGqryLedgerApportsCrosstab MAGqryLedgerApportsCrosstab"/>
  </connection>
  <connection id="5" name="MAGqryLedgerOA" type="1" refreshedVersion="4" background="1" saveData="1">
    <dbPr connection="DSN=MS Access Database;DBQ=G:\FMS\RESOURCE\PGMANA\FY13 FILES\Transaction Log\071213 Front End1.accdb;DefaultDir=G:\FMS\RESOURCE\PGMANA\FY13 FILES\Transaction Log;DriverId=25;FIL=MS Access;MaxBufferSize=2048;PageTimeout=5;" command="SELECT MAGqryLedgerOACrosstab.`Transaction Year`, MAGqryLedgerOACrosstab.`Transaction Type`, MAGqryLedgerOACrosstab.Number, MAGqryLedgerOACrosstab.`From`, MAGqryLedgerOACrosstab.To, MAGqryLedgerOACrosstab.`Repayment Year`, MAGqryLedgerOACrosstab.Project8, MAGqryLedgerOACrosstab.Notes, MAGqryLedgerOACrosstab.Total, MAGqryLedgerOACrosstab.CMAQ, MAGqryLedgerOACrosstab.`CMAQ 2_5`, MAGqryLedgerOACrosstab.HSIP, MAGqryLedgerOACrosstab.PL, MAGqryLedgerOACrosstab.SPR, MAGqryLedgerOACrosstab.`STP other`, MAGqryLedgerOACrosstab.`STP over 200K`, MAGqryLedgerOACrosstab.`TA other`, MAGqryLedgerOACrosstab.`TA over 200K`_x000d__x000a_FROM MAGqryLedgerOACrosstab MAGqryLedgerOACrosstab"/>
  </connection>
</connections>
</file>

<file path=xl/sharedStrings.xml><?xml version="1.0" encoding="utf-8"?>
<sst xmlns="http://schemas.openxmlformats.org/spreadsheetml/2006/main" count="2138" uniqueCount="853">
  <si>
    <t>HSIP</t>
  </si>
  <si>
    <t>SPR</t>
  </si>
  <si>
    <t>STP other</t>
  </si>
  <si>
    <t>New Auth</t>
  </si>
  <si>
    <t>MPA</t>
  </si>
  <si>
    <t>FV MPA</t>
  </si>
  <si>
    <t>Current FFY Apportionments</t>
  </si>
  <si>
    <t>Total</t>
  </si>
  <si>
    <t>Description</t>
  </si>
  <si>
    <t>APPORTIONMENTS /1</t>
  </si>
  <si>
    <t>Number</t>
  </si>
  <si>
    <t>Details</t>
  </si>
  <si>
    <t>See accompanying Notes tab for footnote detail</t>
  </si>
  <si>
    <t xml:space="preserve"> /3</t>
  </si>
  <si>
    <t xml:space="preserve"> /4</t>
  </si>
  <si>
    <t>FFY OBLIGATION AUTHORITY /2</t>
  </si>
  <si>
    <t xml:space="preserve"> Effective 10/1/12, COGs/MPOs will receive the same OA ratio as ADOT, which is 95.5% for FFY 13.</t>
  </si>
  <si>
    <t xml:space="preserve"> /6</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</si>
  <si>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</si>
  <si>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</si>
  <si>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</si>
  <si>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</si>
  <si>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</si>
  <si>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</si>
  <si>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</si>
  <si>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</si>
  <si>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</si>
  <si>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</si>
  <si>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</si>
  <si>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</si>
  <si>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</si>
  <si>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</si>
  <si>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</si>
  <si>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</si>
  <si>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</si>
  <si>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</si>
  <si>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</si>
  <si>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</si>
  <si>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 xml:space="preserve"> /7</t>
  </si>
  <si>
    <t>Entity</t>
  </si>
  <si>
    <t>TIP#</t>
  </si>
  <si>
    <t>ADOT#</t>
  </si>
  <si>
    <t>Suffix</t>
  </si>
  <si>
    <t>Fed#</t>
  </si>
  <si>
    <t>Location</t>
  </si>
  <si>
    <t>Sponsor</t>
  </si>
  <si>
    <t>Submitted to FMS</t>
  </si>
  <si>
    <t>Submitted to FHWA</t>
  </si>
  <si>
    <t>FHWA Authorization</t>
  </si>
  <si>
    <t>Federal Amount</t>
  </si>
  <si>
    <t>PL</t>
  </si>
  <si>
    <t>STP over 200K</t>
  </si>
  <si>
    <t>TA other</t>
  </si>
  <si>
    <t>TA over 200K</t>
  </si>
  <si>
    <t>16P</t>
  </si>
  <si>
    <t>18P</t>
  </si>
  <si>
    <t>19P</t>
  </si>
  <si>
    <t>01P</t>
  </si>
  <si>
    <t>02P</t>
  </si>
  <si>
    <t>03P</t>
  </si>
  <si>
    <t>01C</t>
  </si>
  <si>
    <t>01R</t>
  </si>
  <si>
    <t>03D</t>
  </si>
  <si>
    <t>NOT YET AUTHORIZED</t>
  </si>
  <si>
    <t>Action</t>
  </si>
  <si>
    <t>72813</t>
  </si>
  <si>
    <t>Projected Declining OA</t>
  </si>
  <si>
    <t>From</t>
  </si>
  <si>
    <t>To</t>
  </si>
  <si>
    <t>Repayment Year</t>
  </si>
  <si>
    <t>Maricopa Association of Goverments</t>
  </si>
  <si>
    <t>CMAQ</t>
  </si>
  <si>
    <t>CMAQ 2_5</t>
  </si>
  <si>
    <t>MAG</t>
  </si>
  <si>
    <t>PL201</t>
  </si>
  <si>
    <t>000 A 176</t>
  </si>
  <si>
    <t>MAG PROGRAM FY 2010</t>
  </si>
  <si>
    <t>17P</t>
  </si>
  <si>
    <t>000 A 178</t>
  </si>
  <si>
    <t>MAG PROGRAM FY 2011</t>
  </si>
  <si>
    <t>000 A 180</t>
  </si>
  <si>
    <t>MAG PROGRAM FY 2012</t>
  </si>
  <si>
    <t>000 A 182</t>
  </si>
  <si>
    <t>MAG METROPOLITAL PLANNING FUNDS</t>
  </si>
  <si>
    <t>PMG10</t>
  </si>
  <si>
    <t>999 A 278</t>
  </si>
  <si>
    <t>MAG STP FY 2010</t>
  </si>
  <si>
    <t>999 A 279</t>
  </si>
  <si>
    <t>MAG CMAQ-NO MATCH FY 2010</t>
  </si>
  <si>
    <t>999 A 280</t>
  </si>
  <si>
    <t>MAG CMAQ-WITH MATCH FY2010</t>
  </si>
  <si>
    <t>PS201</t>
  </si>
  <si>
    <t>000 J 176</t>
  </si>
  <si>
    <t>MAG SPR FY 2010</t>
  </si>
  <si>
    <t>000 J 178</t>
  </si>
  <si>
    <t>MAG SPR FY 2011</t>
  </si>
  <si>
    <t>000 J 182</t>
  </si>
  <si>
    <t>MAG SPR FY 2013</t>
  </si>
  <si>
    <t>SH431</t>
  </si>
  <si>
    <t>GLN 0 030</t>
  </si>
  <si>
    <t>51ST AVE &amp; NORTHERN</t>
  </si>
  <si>
    <t>GLN</t>
  </si>
  <si>
    <t>PHX 0 030</t>
  </si>
  <si>
    <t>PHX</t>
  </si>
  <si>
    <t>SH432</t>
  </si>
  <si>
    <t>GLN 0 031</t>
  </si>
  <si>
    <t>51ST AVENUE &amp; CAMELBACK ROAD</t>
  </si>
  <si>
    <t>SH444</t>
  </si>
  <si>
    <t>TMP 0 214</t>
  </si>
  <si>
    <t>CITY OF TEMPE VARIOUS LOCATIONS</t>
  </si>
  <si>
    <t>TMP</t>
  </si>
  <si>
    <t>SH445</t>
  </si>
  <si>
    <t>SCT 0 210</t>
  </si>
  <si>
    <t>CITY OF SCOTTSDALE VARIOUS LOCATIONS</t>
  </si>
  <si>
    <t>SCT</t>
  </si>
  <si>
    <t>SH446</t>
  </si>
  <si>
    <t>PHX 0 253</t>
  </si>
  <si>
    <t>CITY OF PHOENIX VARIOUS LOCATIONS</t>
  </si>
  <si>
    <t>SH478</t>
  </si>
  <si>
    <t>MES 0 220</t>
  </si>
  <si>
    <t>CITY OF MESA VARIOUS LOCATIONS</t>
  </si>
  <si>
    <t>MES</t>
  </si>
  <si>
    <t>SS451</t>
  </si>
  <si>
    <t>FTH 0 006</t>
  </si>
  <si>
    <t>SHEA BLVD SAGUARO BLVD - 144 ST</t>
  </si>
  <si>
    <t>FTH</t>
  </si>
  <si>
    <t>SS479</t>
  </si>
  <si>
    <t>TMP 0 016</t>
  </si>
  <si>
    <t>MCCLINTOCK DR</t>
  </si>
  <si>
    <t>SS484</t>
  </si>
  <si>
    <t>PVY 0 001</t>
  </si>
  <si>
    <t>TATUM BLVD/MCDONALD DR NTRSCT</t>
  </si>
  <si>
    <t>PVY</t>
  </si>
  <si>
    <t>SS490</t>
  </si>
  <si>
    <t>GDY 0 002</t>
  </si>
  <si>
    <t>GOODYEAR, RAINBOW VALLEY RD HUNT HWY-RIGGS</t>
  </si>
  <si>
    <t>GDY</t>
  </si>
  <si>
    <t>SS531</t>
  </si>
  <si>
    <t>PHX 0 041</t>
  </si>
  <si>
    <t>24TH ST: RIO SALADO TO ROESER RD</t>
  </si>
  <si>
    <t>SS547</t>
  </si>
  <si>
    <t>GIL 0 012</t>
  </si>
  <si>
    <t>EASTERN CNL (GUADALUPE-WARNER)</t>
  </si>
  <si>
    <t>GIL</t>
  </si>
  <si>
    <t>GIL 0 209</t>
  </si>
  <si>
    <t>SS549</t>
  </si>
  <si>
    <t>CHN 0 023</t>
  </si>
  <si>
    <t>INTERSECTION OF DOBSON AND WARNER ROADS AT CHANDLE</t>
  </si>
  <si>
    <t>CHN</t>
  </si>
  <si>
    <t>SS554</t>
  </si>
  <si>
    <t>PE0 0 007</t>
  </si>
  <si>
    <t>NEW RIVER TRAIL UNDERPASSES</t>
  </si>
  <si>
    <t>PEO</t>
  </si>
  <si>
    <t>SS555</t>
  </si>
  <si>
    <t>MMA 0 041</t>
  </si>
  <si>
    <t>BELL RD: GRAND AVE-LOOP 101</t>
  </si>
  <si>
    <t>MMA</t>
  </si>
  <si>
    <t>SS571</t>
  </si>
  <si>
    <t>TMP 0 026</t>
  </si>
  <si>
    <t>WESTERN CANAL TEMPE</t>
  </si>
  <si>
    <t>SS574</t>
  </si>
  <si>
    <t>MMA 0 044</t>
  </si>
  <si>
    <t>BELL RD INCIDENT RESPONSE</t>
  </si>
  <si>
    <t>SS578</t>
  </si>
  <si>
    <t>PHX 0 052</t>
  </si>
  <si>
    <t>ITS FIBER OPTIC BACKBONE PHS B</t>
  </si>
  <si>
    <t>SS583</t>
  </si>
  <si>
    <t>C/D</t>
  </si>
  <si>
    <t>GLN 0 028</t>
  </si>
  <si>
    <t>59TH AVE, GLNDL AVE &amp; BELL RD.</t>
  </si>
  <si>
    <t>SS597</t>
  </si>
  <si>
    <t>MES 0 030</t>
  </si>
  <si>
    <t>RADIO COMMUNICATION</t>
  </si>
  <si>
    <t>SS600</t>
  </si>
  <si>
    <t>MMA 0 047</t>
  </si>
  <si>
    <t>AZTECH SMART CORRIDOR PH3</t>
  </si>
  <si>
    <t>SS603</t>
  </si>
  <si>
    <t>PE0 0 009</t>
  </si>
  <si>
    <t>91ST AVE &amp; OLIVE AVE</t>
  </si>
  <si>
    <t>SS626</t>
  </si>
  <si>
    <t>PHX 0 201</t>
  </si>
  <si>
    <t>PURCHASE AND INSTALL WIRELESS COMMUNICATIONS EQUIP</t>
  </si>
  <si>
    <t>SS635</t>
  </si>
  <si>
    <t>MES 0 202</t>
  </si>
  <si>
    <t>MESA DRIVE AND MAIN STREET (MESA)</t>
  </si>
  <si>
    <t>SS640</t>
  </si>
  <si>
    <t>TMP 0 203</t>
  </si>
  <si>
    <t>COLLEGE AVENUE FROM APACHE BLVD TO US 60</t>
  </si>
  <si>
    <t>SS646</t>
  </si>
  <si>
    <t>RRD</t>
  </si>
  <si>
    <t>FTH 0 200</t>
  </si>
  <si>
    <t>SHEA BLVD:PALISADES BLVD TO FOUNTAIN HILLS BLVD.</t>
  </si>
  <si>
    <t>SS666</t>
  </si>
  <si>
    <t>LPK 0 200</t>
  </si>
  <si>
    <t>PAVE UNPAVED ALLEYS - VARIOUS LOCATIONS</t>
  </si>
  <si>
    <t>LPK</t>
  </si>
  <si>
    <t>SS667</t>
  </si>
  <si>
    <t>TMP 0 205</t>
  </si>
  <si>
    <t>UPGRADE TAFFIC CONTROLLERS - VARIOUS LOCATIONS</t>
  </si>
  <si>
    <t>SS668</t>
  </si>
  <si>
    <t>TMP 0 206</t>
  </si>
  <si>
    <t>CITY OF TEMPE (VARIOUS)</t>
  </si>
  <si>
    <t>SS670</t>
  </si>
  <si>
    <t>PE0 0 202</t>
  </si>
  <si>
    <t>TRAFFIC MANAGEMENT CENTER, 8400 W. CINNABABAR AVE</t>
  </si>
  <si>
    <t>SS671</t>
  </si>
  <si>
    <t>GLN 0 204</t>
  </si>
  <si>
    <t>INSTALL CCTV CAMERAS-VARIOUS LOCATIONS</t>
  </si>
  <si>
    <t>SS678</t>
  </si>
  <si>
    <t>PHX 0 202</t>
  </si>
  <si>
    <t>VARIOUS LOCATIONS UPGRADE OUTDATED TSI SIGNAL EQUI</t>
  </si>
  <si>
    <t>SS679</t>
  </si>
  <si>
    <t>AVN 0 203</t>
  </si>
  <si>
    <t>AVONDALE MUNICIPAL AND OPERATIONS SVC CENTER</t>
  </si>
  <si>
    <t>AVN</t>
  </si>
  <si>
    <t>SS681</t>
  </si>
  <si>
    <t>SCT 0 204</t>
  </si>
  <si>
    <t>CITY OF SCOTTSDALE (THROUGHOUT)</t>
  </si>
  <si>
    <t>SS683</t>
  </si>
  <si>
    <t>MMA 0 204</t>
  </si>
  <si>
    <t>MARICOPA COUNTY WIDE</t>
  </si>
  <si>
    <t>SS685</t>
  </si>
  <si>
    <t>BKY 0 200</t>
  </si>
  <si>
    <t>7TH ST AND EASON AVE, BUCKEYE</t>
  </si>
  <si>
    <t>BKY</t>
  </si>
  <si>
    <t>SS690</t>
  </si>
  <si>
    <t>GLN 0 206</t>
  </si>
  <si>
    <t>SKUNK CREEK AT BELL ROAD</t>
  </si>
  <si>
    <t>SS691</t>
  </si>
  <si>
    <t>GLN 0 207</t>
  </si>
  <si>
    <t>SKUNK CREEK AT UNION HILLS DR</t>
  </si>
  <si>
    <t>SS698</t>
  </si>
  <si>
    <t>PVY 0 201</t>
  </si>
  <si>
    <t>INSTALL VIDEO DET. SYS. - 12 VARIOUS LOCATIONS</t>
  </si>
  <si>
    <t>SS705</t>
  </si>
  <si>
    <t>PHX 0 218</t>
  </si>
  <si>
    <t>ACDC AT 7TH AVE (BIKE UNDERPASS)</t>
  </si>
  <si>
    <t>SS708</t>
  </si>
  <si>
    <t>CHN 0 205</t>
  </si>
  <si>
    <t>INSTALLATION OF DETECTION CAMERAS VARIOUS LOCATION</t>
  </si>
  <si>
    <t>SS709</t>
  </si>
  <si>
    <t>BKY 0 201</t>
  </si>
  <si>
    <t>MC-85, SOUTHERN AVE, APACHE RD</t>
  </si>
  <si>
    <t>SS716</t>
  </si>
  <si>
    <t>PHX 0 224</t>
  </si>
  <si>
    <t>PAVE DIRT ALLEYS</t>
  </si>
  <si>
    <t>SS720</t>
  </si>
  <si>
    <t>SUR 0 206</t>
  </si>
  <si>
    <t>WEST OF 219TH AVENUE</t>
  </si>
  <si>
    <t>SUR</t>
  </si>
  <si>
    <t>SS727</t>
  </si>
  <si>
    <t>SUR 0 207</t>
  </si>
  <si>
    <t>PEORIA AVE</t>
  </si>
  <si>
    <t>SS823</t>
  </si>
  <si>
    <t>PHX 0 240</t>
  </si>
  <si>
    <t>SS828</t>
  </si>
  <si>
    <t>MMA 0 212</t>
  </si>
  <si>
    <t>99TH AVE; OLIVE AVE TO BELL RD</t>
  </si>
  <si>
    <t>SS837</t>
  </si>
  <si>
    <t>PHX 0 243</t>
  </si>
  <si>
    <t>DOWNTOWN TRAFFIC MANAGEMENT SYSTEM (DTMS)</t>
  </si>
  <si>
    <t>SS852</t>
  </si>
  <si>
    <t>GLN 0 228</t>
  </si>
  <si>
    <t>TMC - PURCHASE VIDEO WALL &amp; CONTROL EQUIPMENT</t>
  </si>
  <si>
    <t>SS862</t>
  </si>
  <si>
    <t>GUA 0 202</t>
  </si>
  <si>
    <t>CALLE SAHUARO - HIGHLINE CANAL</t>
  </si>
  <si>
    <t>GUA</t>
  </si>
  <si>
    <t>SS945</t>
  </si>
  <si>
    <t>ELM 0 205</t>
  </si>
  <si>
    <t>DOWNTOWN EL MIRAGE</t>
  </si>
  <si>
    <t>ELM</t>
  </si>
  <si>
    <t>SS948</t>
  </si>
  <si>
    <t>PE0 0 211</t>
  </si>
  <si>
    <t>VARIOUS LOCATIONS</t>
  </si>
  <si>
    <t>SS949</t>
  </si>
  <si>
    <t>GDY 0 204</t>
  </si>
  <si>
    <t>CITY OF GOOD YEAR PURCHASE AND INSTALL FIBEROPTICS</t>
  </si>
  <si>
    <t>SS964</t>
  </si>
  <si>
    <t>TMP 0 218</t>
  </si>
  <si>
    <t>VARIOUS LOCATIONS:WIRELESS COMMUNICATIONS &amp; CCTV</t>
  </si>
  <si>
    <t>SS995</t>
  </si>
  <si>
    <t>GIL 0 208</t>
  </si>
  <si>
    <t>GILBERT ROAD</t>
  </si>
  <si>
    <t>72811</t>
  </si>
  <si>
    <t>SH485</t>
  </si>
  <si>
    <t>SCT 0 215</t>
  </si>
  <si>
    <t>CITY OF SCOTTSDALE VARIOUS LOCATIONS PED COUNTDOWN SIGNALS</t>
  </si>
  <si>
    <t>SH491</t>
  </si>
  <si>
    <t>GIL 0 207</t>
  </si>
  <si>
    <t>TOWN OF GILBERT - VARIOUS LOCATIONS PED COUNTDOWN SIGNALS</t>
  </si>
  <si>
    <t>72813/CHN12-102RWZ</t>
  </si>
  <si>
    <t>SS917</t>
  </si>
  <si>
    <t>CHN 0 218</t>
  </si>
  <si>
    <t>OCOTILLO RD - WIDENING IMP-AZ AVE TO MCQUEEN RD</t>
  </si>
  <si>
    <t>MES15-441D</t>
  </si>
  <si>
    <t>SZ080</t>
  </si>
  <si>
    <t>MES 0 227</t>
  </si>
  <si>
    <t>RIO SALADO PATHWAY</t>
  </si>
  <si>
    <t>MMA13-101</t>
  </si>
  <si>
    <t>SS899</t>
  </si>
  <si>
    <t>MMA 0 228</t>
  </si>
  <si>
    <t>87TH AVENUE: DEER VALLEY RD TO PEORIA CITY LIMITS</t>
  </si>
  <si>
    <t>MMA13-118RW3Z</t>
  </si>
  <si>
    <t>SZ046</t>
  </si>
  <si>
    <t>MMA 0 239</t>
  </si>
  <si>
    <t>NORTHERN PARKWAY: DYSART ROAD TO 111TH AVENUE</t>
  </si>
  <si>
    <t>MMA13-901</t>
  </si>
  <si>
    <t>SZ022</t>
  </si>
  <si>
    <t>MMA 0 238</t>
  </si>
  <si>
    <t>SOUTHWEST VALLEY: 99TH AVE TO COTTON LANE</t>
  </si>
  <si>
    <t>PHX100-06D</t>
  </si>
  <si>
    <t>SS979</t>
  </si>
  <si>
    <t>PHX 0 266</t>
  </si>
  <si>
    <t>BLK MTN BLVD: SR51/101L TI TO CAVE CREEK RD</t>
  </si>
  <si>
    <t>SCT14-115</t>
  </si>
  <si>
    <t>SH557</t>
  </si>
  <si>
    <t>SCT 0 221</t>
  </si>
  <si>
    <t>CITY OF SCOTTSDALE, VARIOUS LOCATIONS</t>
  </si>
  <si>
    <t>SUR12-818</t>
  </si>
  <si>
    <t>SS955</t>
  </si>
  <si>
    <t>SUR 0 215</t>
  </si>
  <si>
    <t>BELL RD; 115 TH AVE TO CAREFREE RD IN SURPRISE</t>
  </si>
  <si>
    <t>TMP10-629</t>
  </si>
  <si>
    <t>SS953</t>
  </si>
  <si>
    <t>TMP 0 217</t>
  </si>
  <si>
    <t>SALT RIVER MUP: I-10/TEMPE DRAIN TO PRIEST DRIVE</t>
  </si>
  <si>
    <t>SH452</t>
  </si>
  <si>
    <t>CHN 0 215</t>
  </si>
  <si>
    <t>CITY OF CHANDLER VARIOUS LOCATIONS</t>
  </si>
  <si>
    <t>SS567</t>
  </si>
  <si>
    <t>TMP 0 025</t>
  </si>
  <si>
    <t>MILL AND SOUTHERN AVE, TEMPE</t>
  </si>
  <si>
    <t>SS694</t>
  </si>
  <si>
    <t>PHX 0 216</t>
  </si>
  <si>
    <t>CONST - PAVE DIRT ROADWAYS-VARIOUS LOCATIONS</t>
  </si>
  <si>
    <t>SS696</t>
  </si>
  <si>
    <t>PHX 0 217</t>
  </si>
  <si>
    <t>CONST - PAVE DIRT SHOULDERS-VARIOUS LOCATIONS</t>
  </si>
  <si>
    <t>SS728</t>
  </si>
  <si>
    <t>PE0 0 204</t>
  </si>
  <si>
    <t>OLIVE AVENUE - UNDERPASS(R/W, DESIGN &amp; CONST)</t>
  </si>
  <si>
    <t>78211</t>
  </si>
  <si>
    <t>SH500</t>
  </si>
  <si>
    <t>CHN 0 223</t>
  </si>
  <si>
    <t>CITY OF CHANDLER-VARIOUS LOCATIONS</t>
  </si>
  <si>
    <t>AVN13-901</t>
  </si>
  <si>
    <t>SZ002</t>
  </si>
  <si>
    <t>AVN 0 210</t>
  </si>
  <si>
    <t>2-1/8 MILE FIBER OPTIC, CONDUIT, CABLE,CCTV CAMERS</t>
  </si>
  <si>
    <t>BKY11-801</t>
  </si>
  <si>
    <t>SS939</t>
  </si>
  <si>
    <t>BKY 0 205</t>
  </si>
  <si>
    <t>NORTH WATSON RD &amp; MC85 - PAVE UNPAVED ROAD</t>
  </si>
  <si>
    <t>CHN13-102</t>
  </si>
  <si>
    <t>CHN13-102CZ</t>
  </si>
  <si>
    <t>ELM13-103</t>
  </si>
  <si>
    <t>SH548</t>
  </si>
  <si>
    <t>ELM 0 207</t>
  </si>
  <si>
    <t>CITY OF ELMIRAGE,VARIOUS LOCATIONS, SIGN UPGRADE</t>
  </si>
  <si>
    <t>GDY11-713</t>
  </si>
  <si>
    <t>SS896</t>
  </si>
  <si>
    <t>GDY 0 203</t>
  </si>
  <si>
    <t>TRAFFIC SIGNAL SYSTEM - LOCAL AGENCY WIDE</t>
  </si>
  <si>
    <t>GLB13-105</t>
  </si>
  <si>
    <t>SH545</t>
  </si>
  <si>
    <t>TOWN OF GILBERT, VARIOUS LOCATIONS</t>
  </si>
  <si>
    <t>GLB13-906</t>
  </si>
  <si>
    <t>Gilbert ATMS Fiber East Ring Project - Phase II (Design)</t>
  </si>
  <si>
    <t>GLN11-702</t>
  </si>
  <si>
    <t>SS846</t>
  </si>
  <si>
    <t>GLN 0 222</t>
  </si>
  <si>
    <t>NEW RIVER-EAST BANK - MULTI-USE PATH &amp; UNDERPASS</t>
  </si>
  <si>
    <t>GLN12-804</t>
  </si>
  <si>
    <t>SS847</t>
  </si>
  <si>
    <t>GLN 0 223</t>
  </si>
  <si>
    <t>CACTUS, THUNDERBIRD &amp; GREENWAY - F.O./CONDUIT/CCTV</t>
  </si>
  <si>
    <t>GLN13-106</t>
  </si>
  <si>
    <t>SH572</t>
  </si>
  <si>
    <t>GLN 0 237</t>
  </si>
  <si>
    <t>CITY OF GLENDALE, VARIOUS LOCATIONS</t>
  </si>
  <si>
    <t>GLN13-107/GLN14-103/72813</t>
  </si>
  <si>
    <t>SH573</t>
  </si>
  <si>
    <t>GLN 0 238</t>
  </si>
  <si>
    <t>GLN13-901</t>
  </si>
  <si>
    <t>SS845</t>
  </si>
  <si>
    <t>GLN 0 221</t>
  </si>
  <si>
    <t xml:space="preserve">59TH/GLENDALE/PEORIA - FIBER OPTIC,CONDUIT &amp; DMS </t>
  </si>
  <si>
    <t>GLN13-902</t>
  </si>
  <si>
    <t>MES13-902</t>
  </si>
  <si>
    <t>SZ067</t>
  </si>
  <si>
    <t>MES 0 226</t>
  </si>
  <si>
    <t>CITY OF MESA:SOUTHERN-US60;TEMPE CANAL-EXTENSION</t>
  </si>
  <si>
    <t>MES13-906</t>
  </si>
  <si>
    <t>SZ052</t>
  </si>
  <si>
    <t>MES 0 223</t>
  </si>
  <si>
    <t xml:space="preserve">CITY OF MESA - VARIOUS LOCATIONS CITYWIDE </t>
  </si>
  <si>
    <t>MMA11-114</t>
  </si>
  <si>
    <t>MMA13-902</t>
  </si>
  <si>
    <t>SS974</t>
  </si>
  <si>
    <t>MARICOPA COUNTY ATIS ENHANCEMENTS: REGIONWIDE</t>
  </si>
  <si>
    <t>MMA13-904</t>
  </si>
  <si>
    <t>SS973</t>
  </si>
  <si>
    <t>W VALLEY DMS: MCDOWELL, AVONDALE, MC85, ESTRELL</t>
  </si>
  <si>
    <t>PEO12-110/72313</t>
  </si>
  <si>
    <t>SH535</t>
  </si>
  <si>
    <t>PE0 0 215</t>
  </si>
  <si>
    <t xml:space="preserve">75TH AVENUE AND CACTUS ROAD </t>
  </si>
  <si>
    <t>PEO12-111/72313</t>
  </si>
  <si>
    <t>SH536</t>
  </si>
  <si>
    <t>PE0 0 216</t>
  </si>
  <si>
    <t>75TH AVENUE AND PEORIA AVENUE</t>
  </si>
  <si>
    <t>PEO13-101</t>
  </si>
  <si>
    <t>SZ063</t>
  </si>
  <si>
    <t>PE0 0 219</t>
  </si>
  <si>
    <t>Design ITS upgrade project</t>
  </si>
  <si>
    <t>PHX09-624</t>
  </si>
  <si>
    <t>SS951</t>
  </si>
  <si>
    <t>PHX 0 262</t>
  </si>
  <si>
    <t>ITS FIBER OPTIC BACKBONE, PHASE B-1</t>
  </si>
  <si>
    <t>PHX09-872</t>
  </si>
  <si>
    <t>SZ049</t>
  </si>
  <si>
    <t>CITY OF PHOENIX - VARIOUS LOCATIONS CITYWIDE</t>
  </si>
  <si>
    <t>PHX12-113RW/72813</t>
  </si>
  <si>
    <t>SH530</t>
  </si>
  <si>
    <t>PHX 0 273</t>
  </si>
  <si>
    <t>CITY OF PHOENIX - DUNLAP AVENUE</t>
  </si>
  <si>
    <t>PHX13-101</t>
  </si>
  <si>
    <t>PHX13-101CZ</t>
  </si>
  <si>
    <t>SS606</t>
  </si>
  <si>
    <t>PHX 0 055</t>
  </si>
  <si>
    <t>AVENIDA RIO SALADO</t>
  </si>
  <si>
    <t>PHX13-102</t>
  </si>
  <si>
    <t>SZ004</t>
  </si>
  <si>
    <t>PHX 0 270</t>
  </si>
  <si>
    <t>CITYWIDE DUSTPROOFING F/Y 13-VARIOUS LOCATIONS</t>
  </si>
  <si>
    <t>PHX13-903</t>
  </si>
  <si>
    <t>SS870</t>
  </si>
  <si>
    <t>PHX 0 246</t>
  </si>
  <si>
    <t>32ND STREET (WASHINGTON TO MCDOWELL)</t>
  </si>
  <si>
    <t>QNC12-804</t>
  </si>
  <si>
    <t>SS905</t>
  </si>
  <si>
    <t>QCR 0 208</t>
  </si>
  <si>
    <t>ELLSWORTH ROAD - ITS PROJECT SIERRA PK TO EMPIRE</t>
  </si>
  <si>
    <t>QCR</t>
  </si>
  <si>
    <t>QNC13-104</t>
  </si>
  <si>
    <t>SH560</t>
  </si>
  <si>
    <t>QCR 0 212</t>
  </si>
  <si>
    <t>TOWN OF QUEEN CREEK, VARIOUS</t>
  </si>
  <si>
    <t>SH556</t>
  </si>
  <si>
    <t>SCT 0 222</t>
  </si>
  <si>
    <t>CITY OF SCOTTSDALE, VARIOUS</t>
  </si>
  <si>
    <t>SS842</t>
  </si>
  <si>
    <t>SRI 0 201</t>
  </si>
  <si>
    <t>SALT RVR PIMA-MARICOPA INDIAN PAVE DIRT ROADS</t>
  </si>
  <si>
    <t>SRI</t>
  </si>
  <si>
    <t>SRP12-801RW</t>
  </si>
  <si>
    <t>SUR13-101</t>
  </si>
  <si>
    <t>SZ054</t>
  </si>
  <si>
    <t>SUR 0 218</t>
  </si>
  <si>
    <t>PAVE UNPAVED SHOULDERS VARIOUS LOCATIONS</t>
  </si>
  <si>
    <t>SUR13-901</t>
  </si>
  <si>
    <t>SZ038</t>
  </si>
  <si>
    <t>SUR 0 217</t>
  </si>
  <si>
    <t>CITY OF SURPRISE, COTTON LN. PEORIA AVE TO BELL RD</t>
  </si>
  <si>
    <t>TMP11-701</t>
  </si>
  <si>
    <t>SZ037</t>
  </si>
  <si>
    <t>TMP 0 226</t>
  </si>
  <si>
    <t>CITY OF TEMPE, UNIVERISTY DR.-PRIEST DR, &amp; UPRR</t>
  </si>
  <si>
    <t>TMP12-119</t>
  </si>
  <si>
    <t>SH538</t>
  </si>
  <si>
    <t>TMP 0 225</t>
  </si>
  <si>
    <t>BROADWAY RD AND PRIEST DR.</t>
  </si>
  <si>
    <t>TMP13-101</t>
  </si>
  <si>
    <t>SZ071</t>
  </si>
  <si>
    <t>TMP 0 230</t>
  </si>
  <si>
    <t>HOLDEMAN NEIGHBORHOOD ALLEY STABILIZATION</t>
  </si>
  <si>
    <t>TMP13-102</t>
  </si>
  <si>
    <t>SZ072</t>
  </si>
  <si>
    <t>TMP 0 231</t>
  </si>
  <si>
    <t xml:space="preserve">NORTH TEMPE NEIGHBORHOOD ALLEY STABILIZATION </t>
  </si>
  <si>
    <t>TMP13-103/TMP14-104</t>
  </si>
  <si>
    <t>SH558</t>
  </si>
  <si>
    <t>TMP 0 227</t>
  </si>
  <si>
    <t>CITY OF TEMPE, VARIOUS LOCATIONS</t>
  </si>
  <si>
    <t>TMP13-902</t>
  </si>
  <si>
    <t>SZ051</t>
  </si>
  <si>
    <t>TMP 0 228</t>
  </si>
  <si>
    <t>CITY OF TEMPE - VARIOUS LOCATIONS</t>
  </si>
  <si>
    <t>YTN12-101</t>
  </si>
  <si>
    <t>Desgin multiuse path</t>
  </si>
  <si>
    <t>SS591</t>
  </si>
  <si>
    <t>GLN 0 033</t>
  </si>
  <si>
    <t>SR-101L @ 63rd Ave in GLENDALE</t>
  </si>
  <si>
    <t>MMA13-117CZ/MMA14-117CZ</t>
  </si>
  <si>
    <t>SZ047</t>
  </si>
  <si>
    <t>MMA 0 240</t>
  </si>
  <si>
    <t>Northern Pkwy: Reems &amp; Litchfield Overpass</t>
  </si>
  <si>
    <r>
      <t xml:space="preserve">Carried Forward Apportionments 
</t>
    </r>
    <r>
      <rPr>
        <sz val="10"/>
        <color rgb="FFFF0000"/>
        <rFont val="Calibri"/>
        <family val="2"/>
        <scheme val="minor"/>
      </rPr>
      <t>*</t>
    </r>
    <r>
      <rPr>
        <b/>
        <sz val="10"/>
        <color rgb="FFFF0000"/>
        <rFont val="Calibri"/>
        <family val="2"/>
        <scheme val="minor"/>
      </rPr>
      <t>*CERTAIN CATEGORIES LAPSE ON 6/30**</t>
    </r>
  </si>
  <si>
    <t>SH479</t>
  </si>
  <si>
    <t>GLN 0 235</t>
  </si>
  <si>
    <t>CITY OF GLENDALE VARIOUS LOCATIONS</t>
  </si>
  <si>
    <t>SH482</t>
  </si>
  <si>
    <t>FTH 0 207</t>
  </si>
  <si>
    <t>TOWN OF FOUNTAIN HILLS VARIOUS LOCATIONS</t>
  </si>
  <si>
    <t>SZ066</t>
  </si>
  <si>
    <t>MMA 0 243</t>
  </si>
  <si>
    <t>Various Low Volume Roads in the Dove Valley Area, north of Surprise, AZ</t>
  </si>
  <si>
    <t>SH483</t>
  </si>
  <si>
    <t>TMP 0 220</t>
  </si>
  <si>
    <t>CITY OF TEMPE - SIGNALS, PEDESTRIAN COUNTDOWN SIGN</t>
  </si>
  <si>
    <t>SH484</t>
  </si>
  <si>
    <t>TMP 0 221</t>
  </si>
  <si>
    <t>CITY OF TEMPE - EMERGENCY PREEMPTION</t>
  </si>
  <si>
    <t>SZ056</t>
  </si>
  <si>
    <t>CHN 0 227</t>
  </si>
  <si>
    <t>CHANDLER ALLEYWAY REHAB/DUST CONTROL</t>
  </si>
  <si>
    <t>MMA15-431D</t>
  </si>
  <si>
    <t>SZ087</t>
  </si>
  <si>
    <t>MMA 0 246</t>
  </si>
  <si>
    <t>Bell Road Adaptive Signal Control Technology (ASCT) Deployment in Surprise, Glendale, Phoenix, and Scottsdale, AZ</t>
  </si>
  <si>
    <t>MMA15-434D</t>
  </si>
  <si>
    <t>SZ085</t>
  </si>
  <si>
    <t>MMA 0 244</t>
  </si>
  <si>
    <t>New River Area - pave dirt roads in New River, AZ</t>
  </si>
  <si>
    <t>MMA15-436D</t>
  </si>
  <si>
    <t>SZ086</t>
  </si>
  <si>
    <t>MMA 0 245</t>
  </si>
  <si>
    <t>Rockaway Hills Drive: 255th Avenue to 251st Avenue pave dirt road in Morristown, AZ</t>
  </si>
  <si>
    <t>SS940</t>
  </si>
  <si>
    <t>YTN 0 201</t>
  </si>
  <si>
    <t>YTN</t>
  </si>
  <si>
    <t>HSIP*</t>
  </si>
  <si>
    <t>AVN15-441D</t>
  </si>
  <si>
    <t>SZ078</t>
  </si>
  <si>
    <t>CITY OF AVONDALE</t>
  </si>
  <si>
    <t>AVN15-461D</t>
  </si>
  <si>
    <t>SZ079</t>
  </si>
  <si>
    <t>AVODALE ITS DYSART RD</t>
  </si>
  <si>
    <t>BKY15-431D</t>
  </si>
  <si>
    <t>SZ095</t>
  </si>
  <si>
    <t>01U</t>
  </si>
  <si>
    <t>CHN14-102</t>
  </si>
  <si>
    <t>SS997</t>
  </si>
  <si>
    <t>RAY, ELLIOT, DOBSON ITS</t>
  </si>
  <si>
    <t>CVK15-441D</t>
  </si>
  <si>
    <t>SZ097</t>
  </si>
  <si>
    <t>CAVE CREEK BIKE LANE</t>
  </si>
  <si>
    <t>CVK</t>
  </si>
  <si>
    <t>SZ074</t>
  </si>
  <si>
    <t>GIL 0 212</t>
  </si>
  <si>
    <t>MMA14-106CLZ</t>
  </si>
  <si>
    <t>SZ048</t>
  </si>
  <si>
    <t>MMA 0 241</t>
  </si>
  <si>
    <t>NORTHERN PARKWAY SARIVAL - DYSART</t>
  </si>
  <si>
    <t>PHX15-431D</t>
  </si>
  <si>
    <t xml:space="preserve">PHX  </t>
  </si>
  <si>
    <t>PHX15-441D</t>
  </si>
  <si>
    <t>SL717</t>
  </si>
  <si>
    <t>ROOSEVELT ROW</t>
  </si>
  <si>
    <t>PHX15-461D</t>
  </si>
  <si>
    <t>SCT14-116</t>
  </si>
  <si>
    <t>SCT15-463D</t>
  </si>
  <si>
    <t>SZ096</t>
  </si>
  <si>
    <t>HIGHWAY ADVISORY RADIO</t>
  </si>
  <si>
    <t>TMP11-110</t>
  </si>
  <si>
    <t>SH593</t>
  </si>
  <si>
    <t>TMP 0 236</t>
  </si>
  <si>
    <t>TEMPE PEDESTRIAN COUNTDOWN SIGNALS</t>
  </si>
  <si>
    <t>TMP11-111</t>
  </si>
  <si>
    <t>SH594</t>
  </si>
  <si>
    <t>TMP 0 237</t>
  </si>
  <si>
    <t>TEMPE ER PREEMPTION CARDS/TESTER</t>
  </si>
  <si>
    <t>TMP12-805</t>
  </si>
  <si>
    <t>SZ055</t>
  </si>
  <si>
    <t>HARDY DR</t>
  </si>
  <si>
    <t>TMP14-103</t>
  </si>
  <si>
    <t>SZ073</t>
  </si>
  <si>
    <t>EVERGREEN PAVING</t>
  </si>
  <si>
    <t>TMP15-461D</t>
  </si>
  <si>
    <t>SZ083</t>
  </si>
  <si>
    <t>TMP 0 234</t>
  </si>
  <si>
    <t>FIBER OPTIC INTERCONNECTION</t>
  </si>
  <si>
    <t>CVK13-100</t>
  </si>
  <si>
    <t>SH543</t>
  </si>
  <si>
    <t>CVK 0 202</t>
  </si>
  <si>
    <t>TOWN OF CAVE CREEK - SIGNING, VARIOUS LOC</t>
  </si>
  <si>
    <t>FTM11-201</t>
  </si>
  <si>
    <t>SS697</t>
  </si>
  <si>
    <t>FTM 0 200</t>
  </si>
  <si>
    <t>FTM</t>
  </si>
  <si>
    <t>2015</t>
  </si>
  <si>
    <t>SEAGO</t>
  </si>
  <si>
    <t>CAG</t>
  </si>
  <si>
    <t xml:space="preserve"> /10</t>
  </si>
  <si>
    <t>Federal Aid Regional Loans and Transfers Ledger Federal Fiscal Year 2013</t>
  </si>
  <si>
    <t>Transaction Year</t>
  </si>
  <si>
    <t>Transaction Type</t>
  </si>
  <si>
    <t>Project8</t>
  </si>
  <si>
    <t>Notes</t>
  </si>
  <si>
    <t>Loan In</t>
  </si>
  <si>
    <t>Repayment Out</t>
  </si>
  <si>
    <t>Transfer In</t>
  </si>
  <si>
    <t>2013</t>
  </si>
  <si>
    <t>SEAGO001</t>
  </si>
  <si>
    <t>2013 STP Loan from SEAGO</t>
  </si>
  <si>
    <t>CAG-T001</t>
  </si>
  <si>
    <t>None</t>
  </si>
  <si>
    <t>STP Transfer from CAG for Maricopa Casa Grande Hwy MAR 12-01C</t>
  </si>
  <si>
    <t>STP Loan repayment to SEAGO</t>
  </si>
  <si>
    <t>APPORTIONMENT LOANS, REPAYMENTS AND TRANSFERS /see Notes 5 - 10</t>
  </si>
  <si>
    <t>OA LOANS, REPAYMENTS AND TRANSFERS /see Notes 5 - 10</t>
  </si>
  <si>
    <t>Action /13</t>
  </si>
  <si>
    <t>SS731</t>
  </si>
  <si>
    <t>MES 0 206</t>
  </si>
  <si>
    <t xml:space="preserve">ITS SIGNAL CONVERSIONS - PHASE 4A                 </t>
  </si>
  <si>
    <t>AUTHORIZED FINANCE ACTIONS /12</t>
  </si>
  <si>
    <t>20P</t>
  </si>
  <si>
    <t>000 J 184</t>
  </si>
  <si>
    <t>AVN 0 215</t>
  </si>
  <si>
    <t>AVN 0 216</t>
  </si>
  <si>
    <t>CHN 0 225</t>
  </si>
  <si>
    <t>PHX 0 277</t>
  </si>
  <si>
    <t>SZ101</t>
  </si>
  <si>
    <t>PHX 0 287</t>
  </si>
  <si>
    <t>PHOENIX CITYWIDE ALLEYS</t>
  </si>
  <si>
    <t>QCN13-901</t>
  </si>
  <si>
    <t>SZ042</t>
  </si>
  <si>
    <t>QCR 0 213</t>
  </si>
  <si>
    <t>Queen Creek-design and construct bike path</t>
  </si>
  <si>
    <t>SCT 0 224</t>
  </si>
  <si>
    <t>TMP 0 229</t>
  </si>
  <si>
    <t>TMP 0 232</t>
  </si>
  <si>
    <t>Remaining SAFETEA-LU  appotionments (does not come with OA)</t>
  </si>
  <si>
    <t>Loans In (increases available apportionments and/or OA)</t>
  </si>
  <si>
    <t>Loans Out (decreases available apportionments and/or OA)</t>
  </si>
  <si>
    <t>Repayments In (increases available apportionments and/or OA)</t>
  </si>
  <si>
    <t>Repayments Out (decreases available apportionments and/or OA)</t>
  </si>
  <si>
    <t>Transfers In (increases available apportionments and/or OA)</t>
  </si>
  <si>
    <t>Transfers Out (decreases available apportionments and OA)</t>
  </si>
  <si>
    <t>Total Apportionments</t>
  </si>
  <si>
    <t>Declining Balance OA</t>
  </si>
  <si>
    <t xml:space="preserve"> /15</t>
  </si>
  <si>
    <t xml:space="preserve"> /5</t>
  </si>
  <si>
    <t xml:space="preserve"> /8</t>
  </si>
  <si>
    <t xml:space="preserve"> /9</t>
  </si>
  <si>
    <t xml:space="preserve"> /11</t>
  </si>
  <si>
    <t xml:space="preserve"> ADOT provided OA at 100% for federal fiscal years 2010-12 only due to the uncertainty associated with the lack of a long-term program authorization. </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</si>
  <si>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</si>
  <si>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</si>
  <si>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In" represent loan funds being repaid to the region by another entity. Repayments In increase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</si>
  <si>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</si>
  <si>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</si>
  <si>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</si>
  <si>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 xml:space="preserve">These apportionments are left over from SAFETEA LU. The sum of the "Carry Forward" and the "Remaining SAFETEA LU apportionments" balance to the total of all PAG urban STP apportionments on the W10 as of 07/18/13. There is no OA associated with these apportionments as it was used in previous years on other apportionment categories. </t>
  </si>
  <si>
    <t>FFY Total</t>
  </si>
  <si>
    <t>Remaining Balance</t>
  </si>
  <si>
    <t xml:space="preserve"> /14</t>
  </si>
  <si>
    <t>H6689</t>
  </si>
  <si>
    <t>010 B 200</t>
  </si>
  <si>
    <t>43RD AVE TI &amp; 51ST AVE TI</t>
  </si>
  <si>
    <t>H6912</t>
  </si>
  <si>
    <t>074 A 200</t>
  </si>
  <si>
    <t>MP 19 - NEW RIVER ROAD</t>
  </si>
  <si>
    <t>H7267</t>
  </si>
  <si>
    <t>086 A 008</t>
  </si>
  <si>
    <t xml:space="preserve">SR101L@99TH AVE, I-10 TO VAN BUREN STREET </t>
  </si>
  <si>
    <t>H7490</t>
  </si>
  <si>
    <t>202 B 200</t>
  </si>
  <si>
    <t>SR202/SR101 TI TO GILBERT RD</t>
  </si>
  <si>
    <t>CAX</t>
  </si>
  <si>
    <t>H7887</t>
  </si>
  <si>
    <t>017 A 216</t>
  </si>
  <si>
    <t>BETHANY HOME RD - NORTHERN AVE (SB FRONTAGE RD)</t>
  </si>
  <si>
    <t>H7895</t>
  </si>
  <si>
    <t>888 A 207</t>
  </si>
  <si>
    <t>I-10, I-17, Various Locations</t>
  </si>
  <si>
    <t>H8111</t>
  </si>
  <si>
    <t>087 B 216</t>
  </si>
  <si>
    <t>SR 87, JCT 202L-GILBERT RD</t>
  </si>
  <si>
    <t>H8225</t>
  </si>
  <si>
    <t>017 A 224</t>
  </si>
  <si>
    <t>I-17 ARIZONA CANAL TO SR 101L</t>
  </si>
  <si>
    <t>H8239</t>
  </si>
  <si>
    <t>051 A 202</t>
  </si>
  <si>
    <t>SR 51; GLENDALE RD TO SR 101L</t>
  </si>
  <si>
    <t>H8445</t>
  </si>
  <si>
    <t>017 A 230</t>
  </si>
  <si>
    <t>I-17 FROM SR 101 L TO SR 74 FMS</t>
  </si>
  <si>
    <t>01D</t>
  </si>
  <si>
    <t>I-17 FROM SR 101L TO SR74</t>
  </si>
  <si>
    <t>PMG11</t>
  </si>
  <si>
    <t>999 A 315</t>
  </si>
  <si>
    <t>MAG CMAQ FY11; Program Trip Reduction</t>
  </si>
  <si>
    <t>PMG13</t>
  </si>
  <si>
    <t>999 A 401</t>
  </si>
  <si>
    <t>MAG CMAQ-NO MATCH FY 2013</t>
  </si>
  <si>
    <t>999 A 403</t>
  </si>
  <si>
    <t>MAG CMAQ-W/ MATCH FY 2013 STREET SWEEPERS</t>
  </si>
  <si>
    <t>SS613</t>
  </si>
  <si>
    <t>MES 0 032</t>
  </si>
  <si>
    <t xml:space="preserve">MAIN STREET                                       </t>
  </si>
  <si>
    <t>46012</t>
  </si>
  <si>
    <t>H8343</t>
  </si>
  <si>
    <t>888 A 212</t>
  </si>
  <si>
    <t>72313</t>
  </si>
  <si>
    <t>SS987</t>
  </si>
  <si>
    <t>CHN 0 224</t>
  </si>
  <si>
    <t xml:space="preserve">CHANDLER- PAVE DIRT ALLEYS - VARIOUS LOCATIONS    </t>
  </si>
  <si>
    <t>TRANS</t>
  </si>
  <si>
    <t>FER</t>
  </si>
  <si>
    <t xml:space="preserve">000  </t>
  </si>
  <si>
    <t>Transfer to FTA</t>
  </si>
  <si>
    <t>Transfer</t>
  </si>
  <si>
    <t>44914/DOT14-170</t>
  </si>
  <si>
    <t>H8673</t>
  </si>
  <si>
    <t>888 A 219</t>
  </si>
  <si>
    <t>DESIGN FMS LOOP 202 SANTAN DOBSON TO VAL VISTA</t>
  </si>
  <si>
    <t>45014/DOT14-173</t>
  </si>
  <si>
    <t>H8674</t>
  </si>
  <si>
    <t>888 A 220</t>
  </si>
  <si>
    <t>MAG REGIONWIDE DESIGN FMS REHAB</t>
  </si>
  <si>
    <t>72914</t>
  </si>
  <si>
    <t>PHX12-112C</t>
  </si>
  <si>
    <t>SZ098</t>
  </si>
  <si>
    <t>PHX 0 284</t>
  </si>
  <si>
    <t>FIBER OPTIC BACKBONE EXP PHASE B-SONORAN RING</t>
  </si>
  <si>
    <t>SZ102</t>
  </si>
  <si>
    <t>PHX 0 288</t>
  </si>
  <si>
    <t>ROOSEVELT ST FROM 4TH ST TO 7TH ST IN PHX</t>
  </si>
  <si>
    <t>SZ099</t>
  </si>
  <si>
    <t>PHX 0 285</t>
  </si>
  <si>
    <t>7TH AVE 7TH ST DMS DEPLOYMENT</t>
  </si>
  <si>
    <t>PHX15-463</t>
  </si>
  <si>
    <t>SZ100</t>
  </si>
  <si>
    <t>PHX 0 286</t>
  </si>
  <si>
    <t>CORRIDOR CCTV DEPLOYMENT ON THE SEVENS</t>
  </si>
  <si>
    <t>GANS DEBT SERVICE</t>
  </si>
  <si>
    <t>GANS YEAR</t>
  </si>
  <si>
    <t>FundingType</t>
  </si>
  <si>
    <t>ApportionmentAmount</t>
  </si>
  <si>
    <t>OAAmount</t>
  </si>
  <si>
    <t>H538101X</t>
  </si>
  <si>
    <t>N/A</t>
  </si>
  <si>
    <t>DEBT SERVICE DEC. 2012</t>
  </si>
  <si>
    <t>H541701X</t>
  </si>
  <si>
    <t>H553201X</t>
  </si>
  <si>
    <t>H560001X</t>
  </si>
  <si>
    <t>H566601X</t>
  </si>
  <si>
    <t>H568603X</t>
  </si>
  <si>
    <t>H591301X</t>
  </si>
  <si>
    <t>H591501X</t>
  </si>
  <si>
    <t>H625901X</t>
  </si>
  <si>
    <t>H591101X</t>
  </si>
  <si>
    <t>H591201X</t>
  </si>
  <si>
    <t>DEBT SERVICE JUNE 2013</t>
  </si>
  <si>
    <t>TOTALS</t>
  </si>
  <si>
    <t>MAG SPR FY 2014</t>
  </si>
  <si>
    <t>MAG13-101</t>
  </si>
  <si>
    <t>999 A 414</t>
  </si>
  <si>
    <t>MAG STATWIDE PLANNING AND RESEARCH PROGRAM</t>
  </si>
  <si>
    <t>MAG001</t>
  </si>
  <si>
    <t>ADOT</t>
  </si>
  <si>
    <t>2013 HSIP ADOT TRANSFER TO MAG</t>
  </si>
  <si>
    <t>MAG002</t>
  </si>
  <si>
    <t>MAG003</t>
  </si>
  <si>
    <t>MAG004</t>
  </si>
  <si>
    <t>H7829</t>
  </si>
  <si>
    <t>01X</t>
  </si>
  <si>
    <t>888 A 203</t>
  </si>
  <si>
    <t>FREEWAYS IN PHOENIX;Operations, Integration, and evaluation of travel times on dynamic message signs.</t>
  </si>
  <si>
    <t>SH434</t>
  </si>
  <si>
    <t>PHX 0 152</t>
  </si>
  <si>
    <t>CITY OF PHOENIX</t>
  </si>
  <si>
    <t>SL690</t>
  </si>
  <si>
    <t>02D</t>
  </si>
  <si>
    <t>WBG 0 201</t>
  </si>
  <si>
    <t>1962 HASSAYAMPA RIVER BRIDGE ON OLD US 60 HWY</t>
  </si>
  <si>
    <t>WBG</t>
  </si>
  <si>
    <t>MMA11-923D2</t>
  </si>
  <si>
    <t>46413</t>
  </si>
  <si>
    <t>H8169</t>
  </si>
  <si>
    <t>202 A 205</t>
  </si>
  <si>
    <t>SR202L; SR101L TO GILBERT RD</t>
  </si>
  <si>
    <t>BKY 0 211</t>
  </si>
  <si>
    <t>Watson Road: 650 N of Van Buren to McDowell in the Town of Buckeye</t>
  </si>
  <si>
    <t>CVK 0 204</t>
  </si>
  <si>
    <t xml:space="preserve">*Available HSIP funding should be programmed only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</si>
  <si>
    <t>FOR MONTH END 09/30/13</t>
  </si>
  <si>
    <t>H8474</t>
  </si>
  <si>
    <t>202 A 203</t>
  </si>
  <si>
    <t>UNDERNEATH 202 @ 202/101 TI</t>
  </si>
  <si>
    <t>MAG METRO PLANNING FUNDS</t>
  </si>
  <si>
    <t>000 A 184</t>
  </si>
  <si>
    <t>MAG METRO PLANNING FY14</t>
  </si>
  <si>
    <t>SS607</t>
  </si>
  <si>
    <t>LPK 0 004</t>
  </si>
  <si>
    <t>LITCHFIELD PARK</t>
  </si>
  <si>
    <t>SS710</t>
  </si>
  <si>
    <t>CHN 0 206</t>
  </si>
  <si>
    <t>WESTERN CANAL-PRICE RD TO HAMILTON ST (2)</t>
  </si>
  <si>
    <t>SS733</t>
  </si>
  <si>
    <t>MES 0 207</t>
  </si>
  <si>
    <t>LOOP 202 (RED MTN FWY) INSTALLFIBER OPTIC CABLE</t>
  </si>
  <si>
    <t>SS972</t>
  </si>
  <si>
    <t>MMA 0 233</t>
  </si>
  <si>
    <t>MARICOPA COUNTY VARIOUS LOCATIONS</t>
  </si>
  <si>
    <t>CHN08-610C</t>
  </si>
  <si>
    <t>SS712</t>
  </si>
  <si>
    <t>CHN 0 208</t>
  </si>
  <si>
    <t>SR 101L at Galveston St in Chandler</t>
  </si>
  <si>
    <t>CHN13-111CZ</t>
  </si>
  <si>
    <t>SS918</t>
  </si>
  <si>
    <t>CHN 0 217</t>
  </si>
  <si>
    <t>MCQUEEN RD: OCOTILLO RD TO CHANDLER HEIGHTS</t>
  </si>
  <si>
    <t>CHN14‐108CZ_x000D_
108CZ</t>
  </si>
  <si>
    <t>SS915</t>
  </si>
  <si>
    <t>CHN 0 220</t>
  </si>
  <si>
    <t>Gilbert Rd: Chandler_x000D_
Heights Rd to Hunt Hwy</t>
  </si>
  <si>
    <t>CHN18-110DZ</t>
  </si>
  <si>
    <t>SZ105</t>
  </si>
  <si>
    <t>CHN 0 228</t>
  </si>
  <si>
    <t>QUEEN QREEK RD: MCQUEEN RD TO GILBERT RD</t>
  </si>
  <si>
    <t>GLB04-205C2</t>
  </si>
  <si>
    <t>MMA13-105PDZ</t>
  </si>
  <si>
    <t>SS881</t>
  </si>
  <si>
    <t>MMA 0 217</t>
  </si>
  <si>
    <t>MCKELLIPS ROAD DCR</t>
  </si>
  <si>
    <t>MMA 0 235</t>
  </si>
  <si>
    <t>MMA 0 234</t>
  </si>
  <si>
    <t>PHX12-859C2</t>
  </si>
  <si>
    <t>SS959</t>
  </si>
  <si>
    <t>PHX 0 264</t>
  </si>
  <si>
    <t>Hatcher Road: Central Avenue to 3rd Street</t>
  </si>
  <si>
    <t>trick</t>
  </si>
  <si>
    <t>SSXXX</t>
  </si>
  <si>
    <t>XXX</t>
  </si>
  <si>
    <t xml:space="preserve">TBD  </t>
  </si>
  <si>
    <t>Not a real project</t>
  </si>
  <si>
    <t>this is not a real transaction</t>
  </si>
  <si>
    <t>Loan Out</t>
  </si>
  <si>
    <t>Repayment In</t>
  </si>
  <si>
    <t>Transfer Out</t>
  </si>
  <si>
    <t xml:space="preserve">See accompanying Notes tab for footnote detail </t>
  </si>
  <si>
    <t>FOR MONTH END 09/30/13 FINAL</t>
  </si>
  <si>
    <t>MAG005</t>
  </si>
  <si>
    <t>2014</t>
  </si>
  <si>
    <t>2013 ADOT LOAN OF SPR FUNDS TO MAG</t>
  </si>
  <si>
    <t>2014 REPAYMENT OF SPR FUNDS TO ADOT</t>
  </si>
  <si>
    <t>Federal Aid Funding Ledger
Federal Fiscal Year 2013</t>
  </si>
  <si>
    <t>LAPSING FUNDS</t>
  </si>
  <si>
    <t xml:space="preserve">FUNDS LAPSING AT 6/30 </t>
  </si>
  <si>
    <t>CARRY FORWARD TO NEXT FFY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</si>
</sst>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d/yy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1"/>
      <color rgb="FFFF0000"/>
      <name val="Calibri"/>
      <family val="2"/>
      <scheme val="minor"/>
    </font>
    <font>
      <b/>
      <sz val="16"/>
      <color rgb="FFFF0000"/>
      <name val="Calibri"/>
      <family val="2"/>
      <scheme val="minor"/>
    </font>
    <font>
      <sz val="8"/>
      <name val="Wingdings"/>
      <charset val="2"/>
    </font>
    <font>
      <sz val="10"/>
      <color indexed="8"/>
      <name val="Arial"/>
      <family val="2"/>
    </font>
    <font>
      <sz val="11"/>
      <color indexed="8"/>
      <name val="Calibri"/>
      <family val="2"/>
    </font>
    <font>
      <b/>
      <sz val="14"/>
      <name val="Calibri"/>
      <family val="2"/>
      <scheme val="minor"/>
    </font>
    <font>
      <b/>
      <sz val="11"/>
      <name val="Calibri"/>
      <family val="2"/>
      <scheme val="minor"/>
    </font>
    <font>
      <sz val="10"/>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z val="12"/>
      <name val="Calibri"/>
      <family val="2"/>
      <scheme val="minor"/>
    </font>
    <font>
      <sz val="10"/>
      <color theme="1"/>
      <name val="Calibri"/>
      <family val="2"/>
      <scheme val="minor"/>
    </font>
    <font>
      <b/>
      <sz val="10"/>
      <color theme="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FF00"/>
        <bgColor theme="5"/>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57">
    <xf numFmtId="0" fontId="0" fillId="0" borderId="0" xfId="0"/>
    <xf numFmtId="0" fontId="0" fillId="0" borderId="0" xfId="0" applyAlignment="1">
      <alignment horizontal="center" vertical="top"/>
    </xf>
    <xf numFmtId="0" fontId="0" fillId="0" borderId="0" xfId="0" applyAlignment="1">
      <alignment horizontal="left" indent="2"/>
    </xf>
    <xf numFmtId="0" fontId="2" fillId="0" borderId="0" xfId="0" applyFont="1" applyAlignment="1">
      <alignment horizontal="center" vertical="top"/>
    </xf>
    <xf numFmtId="0" fontId="9" fillId="0" borderId="0" xfId="2" applyFont="1" applyFill="1" applyBorder="1" applyAlignment="1">
      <alignment vertical="top" wrapText="1"/>
    </xf>
    <xf numFmtId="0" fontId="3" fillId="0" borderId="0" xfId="0" applyFont="1" applyAlignment="1">
      <alignment vertical="top" wrapText="1"/>
    </xf>
    <xf numFmtId="40" fontId="3" fillId="0" borderId="0" xfId="0" applyNumberFormat="1" applyFont="1" applyAlignment="1">
      <alignment vertical="top" wrapText="1"/>
    </xf>
    <xf numFmtId="14" fontId="3" fillId="0" borderId="0" xfId="0" applyNumberFormat="1" applyFont="1" applyAlignment="1">
      <alignment vertical="top" wrapText="1"/>
    </xf>
    <xf numFmtId="0" fontId="11" fillId="0" borderId="0" xfId="0" applyFont="1" applyAlignment="1">
      <alignment horizontal="left" vertical="top" wrapText="1"/>
    </xf>
    <xf numFmtId="40" fontId="3" fillId="0" borderId="0" xfId="1" applyNumberFormat="1" applyFont="1" applyAlignment="1">
      <alignment vertical="top" wrapText="1"/>
    </xf>
    <xf numFmtId="14" fontId="3" fillId="0" borderId="0" xfId="0" applyNumberFormat="1" applyFont="1" applyAlignment="1">
      <alignment horizontal="left" vertical="center" wrapText="1"/>
    </xf>
    <xf numFmtId="0" fontId="3" fillId="0" borderId="0" xfId="0" applyFont="1" applyAlignment="1">
      <alignment horizontal="left" vertical="top" wrapText="1"/>
    </xf>
    <xf numFmtId="40" fontId="12" fillId="0" borderId="0" xfId="0" applyNumberFormat="1"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horizontal="center" vertical="center" wrapText="1"/>
    </xf>
    <xf numFmtId="14" fontId="3" fillId="0" borderId="0" xfId="0" applyNumberFormat="1" applyFont="1" applyBorder="1" applyAlignment="1">
      <alignment vertical="top" wrapText="1"/>
    </xf>
    <xf numFmtId="40" fontId="3" fillId="0" borderId="0" xfId="0" applyNumberFormat="1" applyFont="1" applyBorder="1" applyAlignment="1">
      <alignment vertical="top" wrapText="1"/>
    </xf>
    <xf numFmtId="0" fontId="3" fillId="0" borderId="0"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11" fillId="0" borderId="0" xfId="0" applyFont="1" applyAlignment="1">
      <alignment horizontal="left" vertical="center" wrapText="1"/>
    </xf>
    <xf numFmtId="0" fontId="4" fillId="0" borderId="0" xfId="0" applyFont="1"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left" vertical="top" wrapText="1"/>
    </xf>
    <xf numFmtId="40" fontId="12" fillId="0" borderId="0" xfId="0" applyNumberFormat="1" applyFont="1" applyBorder="1" applyAlignment="1">
      <alignment vertical="top" wrapText="1"/>
    </xf>
    <xf numFmtId="0" fontId="3" fillId="0" borderId="0" xfId="0" applyFont="1"/>
    <xf numFmtId="14" fontId="6" fillId="0" borderId="0" xfId="0" applyNumberFormat="1" applyFont="1" applyAlignment="1">
      <alignment horizontal="center" vertical="top"/>
    </xf>
    <xf numFmtId="40" fontId="11" fillId="0" borderId="1" xfId="0" applyNumberFormat="1" applyFont="1" applyFill="1" applyBorder="1" applyAlignment="1">
      <alignment horizontal="center" vertical="center" wrapText="1"/>
    </xf>
    <xf numFmtId="40" fontId="11" fillId="0" borderId="12" xfId="0" applyNumberFormat="1" applyFont="1" applyFill="1" applyBorder="1" applyAlignment="1">
      <alignment horizontal="center" vertical="center" wrapText="1"/>
    </xf>
    <xf numFmtId="40" fontId="11" fillId="0" borderId="13" xfId="0" applyNumberFormat="1" applyFont="1" applyFill="1" applyBorder="1" applyAlignment="1">
      <alignment horizontal="center" vertical="center" wrapText="1"/>
    </xf>
    <xf numFmtId="40" fontId="12" fillId="0" borderId="12" xfId="0" applyNumberFormat="1" applyFont="1" applyFill="1" applyBorder="1" applyAlignment="1">
      <alignment horizontal="right" vertical="center" wrapText="1"/>
    </xf>
    <xf numFmtId="40" fontId="12" fillId="0" borderId="1" xfId="0" applyNumberFormat="1" applyFont="1" applyFill="1" applyBorder="1" applyAlignment="1">
      <alignment horizontal="right" vertical="center" wrapText="1"/>
    </xf>
    <xf numFmtId="0" fontId="4"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9" fillId="0" borderId="0" xfId="2" applyFont="1" applyFill="1" applyBorder="1" applyAlignment="1">
      <alignment horizontal="left" vertical="top" wrapText="1"/>
    </xf>
    <xf numFmtId="38" fontId="3" fillId="0" borderId="0" xfId="0" applyNumberFormat="1" applyFont="1"/>
    <xf numFmtId="38"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xf>
    <xf numFmtId="3" fontId="3" fillId="0" borderId="0" xfId="0" applyNumberFormat="1" applyFont="1" applyAlignment="1">
      <alignment vertical="top" wrapText="1"/>
    </xf>
    <xf numFmtId="0" fontId="4" fillId="0" borderId="0" xfId="0" applyFont="1" applyAlignment="1">
      <alignment vertical="top" wrapText="1"/>
    </xf>
    <xf numFmtId="0" fontId="0" fillId="0" borderId="0" xfId="0" applyFont="1"/>
    <xf numFmtId="0" fontId="16" fillId="0" borderId="0" xfId="0" applyFont="1" applyAlignment="1">
      <alignmen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0" fillId="0" borderId="0" xfId="0" applyAlignment="1">
      <alignment horizontal="center" vertical="center" wrapText="1"/>
    </xf>
    <xf numFmtId="0" fontId="3" fillId="0" borderId="4" xfId="0" applyFont="1" applyBorder="1" applyAlignment="1">
      <alignment wrapText="1"/>
    </xf>
    <xf numFmtId="0" fontId="3" fillId="0" borderId="3" xfId="0" applyFont="1" applyBorder="1" applyAlignment="1">
      <alignment wrapText="1"/>
    </xf>
    <xf numFmtId="38" fontId="3" fillId="0" borderId="3" xfId="0" applyNumberFormat="1" applyFont="1" applyBorder="1" applyAlignment="1">
      <alignment wrapText="1"/>
    </xf>
    <xf numFmtId="0" fontId="3" fillId="0" borderId="5" xfId="0" applyFont="1" applyBorder="1" applyAlignment="1">
      <alignment wrapText="1"/>
    </xf>
    <xf numFmtId="0" fontId="0" fillId="0" borderId="0" xfId="0" applyFont="1" applyAlignment="1">
      <alignment wrapText="1"/>
    </xf>
    <xf numFmtId="14" fontId="3" fillId="0" borderId="0" xfId="0" applyNumberFormat="1" applyFont="1" applyAlignment="1">
      <alignment horizontal="center" vertical="center" wrapText="1"/>
    </xf>
    <xf numFmtId="40" fontId="4" fillId="0" borderId="0" xfId="0" applyNumberFormat="1" applyFont="1" applyAlignment="1">
      <alignment horizontal="left" vertical="top" wrapText="1"/>
    </xf>
    <xf numFmtId="40" fontId="13" fillId="0" borderId="0" xfId="0" applyNumberFormat="1" applyFont="1" applyFill="1" applyBorder="1" applyAlignment="1">
      <alignment horizontal="right" vertical="top" wrapText="1"/>
    </xf>
    <xf numFmtId="40" fontId="13" fillId="0" borderId="0" xfId="0" applyNumberFormat="1" applyFont="1" applyBorder="1" applyAlignment="1">
      <alignment horizontal="right" wrapText="1"/>
    </xf>
    <xf numFmtId="40" fontId="3" fillId="0" borderId="0" xfId="0" applyNumberFormat="1" applyFont="1" applyAlignment="1">
      <alignment horizontal="center" vertical="center" wrapText="1"/>
    </xf>
    <xf numFmtId="40" fontId="3" fillId="0" borderId="1" xfId="0" applyNumberFormat="1" applyFont="1" applyBorder="1" applyAlignment="1">
      <alignment vertical="top" wrapText="1"/>
    </xf>
    <xf numFmtId="40" fontId="3" fillId="2" borderId="0" xfId="0" applyNumberFormat="1" applyFont="1" applyFill="1" applyAlignment="1">
      <alignment horizontal="center" vertical="center" wrapText="1"/>
    </xf>
    <xf numFmtId="40" fontId="12" fillId="0" borderId="6" xfId="0" applyNumberFormat="1" applyFont="1" applyFill="1" applyBorder="1" applyAlignment="1">
      <alignment horizontal="right" vertical="center" wrapText="1"/>
    </xf>
    <xf numFmtId="40" fontId="12" fillId="0" borderId="6" xfId="0" applyNumberFormat="1" applyFont="1" applyFill="1" applyBorder="1" applyAlignment="1">
      <alignment vertical="center" wrapText="1"/>
    </xf>
    <xf numFmtId="40" fontId="12" fillId="4" borderId="6" xfId="0" applyNumberFormat="1" applyFont="1" applyFill="1" applyBorder="1" applyAlignment="1">
      <alignment horizontal="right" vertical="center" wrapText="1"/>
    </xf>
    <xf numFmtId="40" fontId="12" fillId="4" borderId="6" xfId="0" applyNumberFormat="1" applyFont="1" applyFill="1" applyBorder="1" applyAlignment="1">
      <alignment vertical="center" wrapText="1"/>
    </xf>
    <xf numFmtId="40" fontId="12" fillId="0" borderId="3" xfId="0" applyNumberFormat="1" applyFont="1" applyFill="1" applyBorder="1" applyAlignment="1">
      <alignment vertical="center" wrapText="1"/>
    </xf>
    <xf numFmtId="40" fontId="12" fillId="4" borderId="12" xfId="0" applyNumberFormat="1" applyFont="1" applyFill="1" applyBorder="1" applyAlignment="1">
      <alignment horizontal="right" vertical="center" wrapText="1"/>
    </xf>
    <xf numFmtId="40" fontId="12" fillId="0" borderId="13" xfId="0" applyNumberFormat="1" applyFont="1" applyFill="1" applyBorder="1" applyAlignment="1">
      <alignment horizontal="right" vertical="center" wrapText="1"/>
    </xf>
    <xf numFmtId="40" fontId="12" fillId="4" borderId="13" xfId="0" applyNumberFormat="1" applyFont="1" applyFill="1" applyBorder="1" applyAlignment="1">
      <alignment horizontal="right" vertical="center" wrapText="1"/>
    </xf>
    <xf numFmtId="14" fontId="11" fillId="0" borderId="0" xfId="0" applyNumberFormat="1" applyFont="1" applyAlignment="1">
      <alignment vertical="top" wrapText="1"/>
    </xf>
    <xf numFmtId="14" fontId="11" fillId="0" borderId="1" xfId="0" applyNumberFormat="1" applyFont="1" applyBorder="1" applyAlignment="1">
      <alignment vertical="top" wrapText="1"/>
    </xf>
    <xf numFmtId="40" fontId="5" fillId="0" borderId="0" xfId="0" applyNumberFormat="1" applyFont="1" applyAlignment="1">
      <alignment vertical="top" wrapText="1"/>
    </xf>
    <xf numFmtId="0" fontId="3" fillId="0" borderId="0" xfId="0" applyFont="1" applyAlignment="1">
      <alignment horizontal="left" vertical="top" wrapText="1"/>
    </xf>
    <xf numFmtId="14" fontId="3" fillId="0" borderId="0" xfId="0" applyNumberFormat="1" applyFont="1" applyAlignment="1">
      <alignment horizontal="center" vertical="center" wrapText="1"/>
    </xf>
    <xf numFmtId="40" fontId="12" fillId="4" borderId="12" xfId="0" applyNumberFormat="1" applyFont="1" applyFill="1" applyBorder="1" applyAlignment="1">
      <alignment horizontal="right" vertical="top" wrapText="1"/>
    </xf>
    <xf numFmtId="40" fontId="12" fillId="4" borderId="6" xfId="0" applyNumberFormat="1" applyFont="1" applyFill="1" applyBorder="1" applyAlignment="1">
      <alignment horizontal="right" vertical="top" wrapText="1"/>
    </xf>
    <xf numFmtId="40" fontId="12" fillId="0" borderId="6" xfId="0" applyNumberFormat="1" applyFont="1" applyBorder="1" applyAlignment="1">
      <alignment horizontal="right" vertical="top" wrapText="1"/>
    </xf>
    <xf numFmtId="0" fontId="19" fillId="0" borderId="0" xfId="0" applyFont="1" applyAlignment="1">
      <alignment vertical="top" wrapText="1"/>
    </xf>
    <xf numFmtId="164" fontId="19" fillId="0" borderId="0" xfId="0" applyNumberFormat="1" applyFont="1" applyAlignment="1">
      <alignment vertical="top" wrapText="1"/>
    </xf>
    <xf numFmtId="40" fontId="19" fillId="0" borderId="0" xfId="0" applyNumberFormat="1" applyFont="1" applyAlignment="1">
      <alignment vertical="top" wrapText="1"/>
    </xf>
    <xf numFmtId="40" fontId="12" fillId="0" borderId="7" xfId="0" applyNumberFormat="1" applyFont="1" applyFill="1" applyBorder="1" applyAlignment="1">
      <alignment vertical="center" wrapText="1"/>
    </xf>
    <xf numFmtId="40" fontId="12" fillId="0" borderId="1" xfId="0" applyNumberFormat="1" applyFont="1" applyFill="1" applyBorder="1" applyAlignment="1">
      <alignment horizontal="right" vertical="top" wrapText="1"/>
    </xf>
    <xf numFmtId="40" fontId="12" fillId="0" borderId="1" xfId="0" applyNumberFormat="1" applyFont="1" applyBorder="1" applyAlignment="1">
      <alignment horizontal="right" vertical="top" wrapText="1"/>
    </xf>
    <xf numFmtId="40" fontId="12" fillId="4" borderId="1" xfId="0" applyNumberFormat="1" applyFont="1" applyFill="1" applyBorder="1" applyAlignment="1">
      <alignment horizontal="right" vertical="top" wrapText="1"/>
    </xf>
    <xf numFmtId="40" fontId="12" fillId="4" borderId="1" xfId="0" applyNumberFormat="1" applyFont="1" applyFill="1" applyBorder="1" applyAlignment="1">
      <alignment horizontal="right" vertical="center" wrapText="1"/>
    </xf>
    <xf numFmtId="40" fontId="12" fillId="0" borderId="12" xfId="0" applyNumberFormat="1" applyFont="1" applyFill="1" applyBorder="1" applyAlignment="1">
      <alignment horizontal="right" vertical="top" wrapText="1"/>
    </xf>
    <xf numFmtId="40" fontId="12" fillId="0" borderId="13" xfId="0" applyNumberFormat="1" applyFont="1" applyBorder="1" applyAlignment="1">
      <alignment horizontal="right" vertical="top" wrapText="1"/>
    </xf>
    <xf numFmtId="40" fontId="12" fillId="4" borderId="13" xfId="0" applyNumberFormat="1" applyFont="1" applyFill="1" applyBorder="1" applyAlignment="1">
      <alignment horizontal="right" vertical="top" wrapText="1"/>
    </xf>
    <xf numFmtId="14" fontId="17" fillId="4" borderId="14" xfId="0" applyNumberFormat="1" applyFont="1" applyFill="1" applyBorder="1" applyAlignment="1">
      <alignment vertical="top" wrapText="1"/>
    </xf>
    <xf numFmtId="14" fontId="17" fillId="4" borderId="18" xfId="0" applyNumberFormat="1" applyFont="1" applyFill="1" applyBorder="1" applyAlignment="1">
      <alignment vertical="top" wrapText="1"/>
    </xf>
    <xf numFmtId="14" fontId="17" fillId="4" borderId="15" xfId="0" applyNumberFormat="1" applyFont="1" applyFill="1" applyBorder="1" applyAlignment="1">
      <alignment vertical="top" wrapText="1"/>
    </xf>
    <xf numFmtId="0" fontId="11" fillId="0" borderId="0" xfId="0" applyFont="1"/>
    <xf numFmtId="0" fontId="3" fillId="0" borderId="3" xfId="0" applyFont="1" applyBorder="1"/>
    <xf numFmtId="0" fontId="3" fillId="0" borderId="5" xfId="0" applyFont="1" applyBorder="1"/>
    <xf numFmtId="0" fontId="3" fillId="0" borderId="1" xfId="0" applyFont="1" applyBorder="1"/>
    <xf numFmtId="0" fontId="3" fillId="0" borderId="2" xfId="0" applyFont="1" applyBorder="1"/>
    <xf numFmtId="0" fontId="3" fillId="0" borderId="8" xfId="0" applyFont="1" applyBorder="1"/>
    <xf numFmtId="0" fontId="3" fillId="0" borderId="16" xfId="0" applyFont="1" applyBorder="1"/>
    <xf numFmtId="43" fontId="3" fillId="0" borderId="3" xfId="3" applyFont="1" applyBorder="1"/>
    <xf numFmtId="43" fontId="3" fillId="0" borderId="1" xfId="3" applyFont="1" applyBorder="1"/>
    <xf numFmtId="43" fontId="3" fillId="0" borderId="8" xfId="3" applyFont="1" applyBorder="1"/>
    <xf numFmtId="40" fontId="17" fillId="4" borderId="6" xfId="0" applyNumberFormat="1" applyFont="1" applyFill="1" applyBorder="1" applyAlignment="1">
      <alignment vertical="top" wrapText="1"/>
    </xf>
    <xf numFmtId="0" fontId="3" fillId="0" borderId="0" xfId="0" applyFont="1" applyAlignment="1">
      <alignment horizontal="left" vertical="top" wrapText="1"/>
    </xf>
    <xf numFmtId="39" fontId="3" fillId="0" borderId="0" xfId="3" applyNumberFormat="1" applyFont="1" applyAlignment="1">
      <alignment vertical="top" wrapText="1"/>
    </xf>
    <xf numFmtId="39" fontId="3" fillId="0" borderId="0" xfId="3" applyNumberFormat="1" applyFont="1" applyAlignment="1">
      <alignment horizontal="left" vertical="center" wrapText="1"/>
    </xf>
    <xf numFmtId="39" fontId="3" fillId="0" borderId="0" xfId="3" applyNumberFormat="1" applyFont="1" applyAlignment="1">
      <alignment horizontal="center" vertical="center" wrapText="1"/>
    </xf>
    <xf numFmtId="39" fontId="3" fillId="0" borderId="0" xfId="3" applyNumberFormat="1" applyFont="1" applyAlignment="1">
      <alignment vertical="center" wrapText="1"/>
    </xf>
    <xf numFmtId="0" fontId="3" fillId="0" borderId="0" xfId="0" applyFont="1" applyAlignment="1">
      <alignment horizontal="left" vertical="top" wrapText="1"/>
    </xf>
    <xf numFmtId="0" fontId="19" fillId="0" borderId="8" xfId="0" applyFont="1" applyBorder="1"/>
    <xf numFmtId="43" fontId="19" fillId="0" borderId="8" xfId="0" applyNumberFormat="1" applyFont="1" applyBorder="1"/>
    <xf numFmtId="0" fontId="19" fillId="0" borderId="16" xfId="0" applyFont="1" applyBorder="1"/>
    <xf numFmtId="0" fontId="19" fillId="0" borderId="1" xfId="0" applyFont="1" applyBorder="1" applyAlignment="1">
      <alignment horizontal="left" vertical="top"/>
    </xf>
    <xf numFmtId="38" fontId="19" fillId="0" borderId="1" xfId="0" applyNumberFormat="1" applyFont="1" applyBorder="1" applyAlignment="1">
      <alignment horizontal="left" vertical="top"/>
    </xf>
    <xf numFmtId="38" fontId="19" fillId="0" borderId="1" xfId="0" applyNumberFormat="1" applyFont="1" applyBorder="1" applyAlignment="1">
      <alignment vertical="top"/>
    </xf>
    <xf numFmtId="0" fontId="3" fillId="0" borderId="0" xfId="0" applyFont="1" applyAlignment="1">
      <alignment horizontal="left" vertical="top" wrapText="1"/>
    </xf>
    <xf numFmtId="0" fontId="3" fillId="0" borderId="0" xfId="0" applyFont="1" applyAlignment="1">
      <alignment horizontal="left" vertical="top" wrapText="1"/>
    </xf>
    <xf numFmtId="14" fontId="3" fillId="0" borderId="0" xfId="0" applyNumberFormat="1" applyFont="1" applyAlignment="1">
      <alignment horizontal="left" vertical="center"/>
    </xf>
    <xf numFmtId="0" fontId="19" fillId="0" borderId="8" xfId="0" applyFont="1" applyBorder="1" applyAlignment="1">
      <alignment horizontal="left" vertical="top"/>
    </xf>
    <xf numFmtId="38" fontId="19" fillId="0" borderId="8" xfId="0" applyNumberFormat="1" applyFont="1" applyBorder="1" applyAlignment="1">
      <alignment horizontal="left" vertical="top"/>
    </xf>
    <xf numFmtId="38" fontId="19" fillId="0" borderId="8" xfId="0" applyNumberFormat="1" applyFont="1" applyBorder="1" applyAlignment="1">
      <alignment vertical="top"/>
    </xf>
    <xf numFmtId="0" fontId="3" fillId="0" borderId="0" xfId="0" applyFont="1" applyAlignment="1">
      <alignment horizontal="left" vertical="top" wrapText="1"/>
    </xf>
    <xf numFmtId="0" fontId="3" fillId="0" borderId="0" xfId="0" applyFont="1" applyAlignment="1">
      <alignment horizontal="left" vertical="top" wrapText="1"/>
    </xf>
    <xf numFmtId="14" fontId="11" fillId="0" borderId="0" xfId="0" applyNumberFormat="1" applyFont="1" applyAlignment="1">
      <alignment horizontal="right" vertical="top"/>
    </xf>
    <xf numFmtId="0" fontId="2" fillId="0" borderId="0" xfId="0" applyFont="1"/>
    <xf numFmtId="14" fontId="5" fillId="0" borderId="0" xfId="0" applyNumberFormat="1" applyFont="1" applyAlignment="1">
      <alignment horizontal="right" vertical="top"/>
    </xf>
    <xf numFmtId="14" fontId="13" fillId="0" borderId="0" xfId="0" applyNumberFormat="1" applyFont="1" applyBorder="1" applyAlignment="1">
      <alignment horizontal="righ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left" vertical="top" wrapText="1"/>
    </xf>
    <xf numFmtId="14" fontId="11" fillId="0" borderId="1" xfId="0"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14" fontId="3" fillId="0" borderId="0" xfId="0" applyNumberFormat="1" applyFont="1" applyAlignment="1">
      <alignment horizontal="center" vertical="center" wrapText="1"/>
    </xf>
    <xf numFmtId="40" fontId="11" fillId="3" borderId="7" xfId="0" applyNumberFormat="1" applyFont="1" applyFill="1" applyBorder="1" applyAlignment="1">
      <alignment horizontal="center" vertical="center" wrapText="1"/>
    </xf>
    <xf numFmtId="40" fontId="11" fillId="3" borderId="4" xfId="0" applyNumberFormat="1" applyFont="1" applyFill="1" applyBorder="1" applyAlignment="1">
      <alignment horizontal="center" vertical="center" wrapText="1"/>
    </xf>
    <xf numFmtId="40" fontId="11" fillId="0" borderId="9" xfId="0" applyNumberFormat="1" applyFont="1" applyFill="1" applyBorder="1" applyAlignment="1">
      <alignment horizontal="center" vertical="center" wrapText="1"/>
    </xf>
    <xf numFmtId="40" fontId="11" fillId="0" borderId="10" xfId="0" applyNumberFormat="1" applyFont="1" applyFill="1" applyBorder="1" applyAlignment="1">
      <alignment horizontal="center" vertical="center" wrapText="1"/>
    </xf>
    <xf numFmtId="40" fontId="11" fillId="0" borderId="11" xfId="0" applyNumberFormat="1" applyFont="1" applyFill="1" applyBorder="1" applyAlignment="1">
      <alignment horizontal="center" vertical="center" wrapText="1"/>
    </xf>
    <xf numFmtId="14" fontId="12" fillId="0" borderId="8" xfId="0" applyNumberFormat="1" applyFont="1" applyBorder="1" applyAlignment="1">
      <alignment horizontal="right" vertical="center" wrapText="1"/>
    </xf>
    <xf numFmtId="14" fontId="12" fillId="0" borderId="16" xfId="0" applyNumberFormat="1" applyFont="1" applyBorder="1" applyAlignment="1">
      <alignment horizontal="right" vertical="center" wrapText="1"/>
    </xf>
    <xf numFmtId="14" fontId="17" fillId="4" borderId="1" xfId="0" applyNumberFormat="1" applyFont="1" applyFill="1" applyBorder="1" applyAlignment="1">
      <alignment horizontal="right" vertical="top" wrapText="1" indent="1"/>
    </xf>
    <xf numFmtId="14" fontId="17" fillId="4" borderId="2" xfId="0" applyNumberFormat="1" applyFont="1" applyFill="1" applyBorder="1" applyAlignment="1">
      <alignment horizontal="right" vertical="top" wrapText="1" indent="1"/>
    </xf>
    <xf numFmtId="0" fontId="4" fillId="0" borderId="0" xfId="0" applyFont="1" applyAlignment="1">
      <alignment horizontal="left" vertical="top" wrapText="1"/>
    </xf>
    <xf numFmtId="14" fontId="17" fillId="0" borderId="1" xfId="0" applyNumberFormat="1" applyFont="1" applyFill="1" applyBorder="1" applyAlignment="1">
      <alignment horizontal="right" vertical="top" wrapText="1" indent="1"/>
    </xf>
    <xf numFmtId="14" fontId="17" fillId="0" borderId="2" xfId="0" applyNumberFormat="1" applyFont="1" applyFill="1" applyBorder="1" applyAlignment="1">
      <alignment horizontal="right" vertical="top" wrapText="1" indent="1"/>
    </xf>
    <xf numFmtId="14" fontId="17" fillId="4" borderId="1" xfId="0" applyNumberFormat="1" applyFont="1" applyFill="1" applyBorder="1" applyAlignment="1">
      <alignment horizontal="center" vertical="top" wrapText="1"/>
    </xf>
    <xf numFmtId="14" fontId="17" fillId="4" borderId="2" xfId="0" applyNumberFormat="1" applyFont="1" applyFill="1" applyBorder="1" applyAlignment="1">
      <alignment horizontal="center" vertical="top" wrapText="1"/>
    </xf>
    <xf numFmtId="14" fontId="18" fillId="0" borderId="2" xfId="0" applyNumberFormat="1" applyFont="1" applyFill="1" applyBorder="1" applyAlignment="1">
      <alignment horizontal="right" vertical="top" wrapText="1" indent="1"/>
    </xf>
    <xf numFmtId="14" fontId="18" fillId="0" borderId="17" xfId="0" applyNumberFormat="1" applyFont="1" applyFill="1" applyBorder="1" applyAlignment="1">
      <alignment horizontal="right" vertical="top" wrapText="1" indent="1"/>
    </xf>
    <xf numFmtId="14" fontId="18" fillId="0" borderId="6" xfId="0" applyNumberFormat="1" applyFont="1" applyFill="1" applyBorder="1" applyAlignment="1">
      <alignment horizontal="right" vertical="top" wrapText="1" indent="1"/>
    </xf>
    <xf numFmtId="0" fontId="0" fillId="0" borderId="0" xfId="0" applyAlignment="1">
      <alignment horizontal="left" vertical="top" wrapText="1"/>
    </xf>
    <xf numFmtId="0" fontId="2" fillId="0" borderId="0" xfId="0" applyFont="1" applyAlignment="1">
      <alignment horizontal="left" vertical="top"/>
    </xf>
    <xf numFmtId="0" fontId="9" fillId="0" borderId="0" xfId="2" applyFont="1" applyFill="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11"/>
        <color auto="1"/>
        <name val="Calibri"/>
        <scheme val="minor"/>
      </font>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5" formatCode="_(* #,##0.00_);_(* \(#,##0.00\);_(*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dxf>
    <dxf>
      <border>
        <bottom style="thin">
          <color indexed="64"/>
        </bottom>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dxf>
    <dxf>
      <border>
        <bottom style="thin">
          <color indexed="64"/>
        </bottom>
      </border>
    </dxf>
    <dxf>
      <font>
        <b val="0"/>
        <i val="0"/>
        <strike val="0"/>
        <condense val="0"/>
        <extend val="0"/>
        <outline val="0"/>
        <shadow val="0"/>
        <u val="none"/>
        <vertAlign val="baseline"/>
        <sz val="11"/>
        <color auto="1"/>
        <name val="Calibri"/>
        <scheme val="minor"/>
      </font>
      <alignment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numFmt numFmtId="6" formatCode="#,##0_);[Red]\(#,##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color auto="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color auto="1"/>
        <name val="Calibri"/>
        <scheme val="minor"/>
      </font>
      <alignment vertical="top" textRotation="0" indent="0" justifyLastLine="0" shrinkToFit="0" readingOrder="0"/>
    </dxf>
    <dxf>
      <border>
        <bottom style="thin">
          <color indexed="64"/>
        </bottom>
      </border>
    </dxf>
    <dxf>
      <font>
        <strike val="0"/>
        <outline val="0"/>
        <shadow val="0"/>
        <u val="none"/>
        <vertAlign val="baseline"/>
        <color auto="1"/>
        <name val="Calibri"/>
        <scheme val="minor"/>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9" formatCode="mm/dd/yyyy"/>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9" formatCode="mm/dd/yyyy"/>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9" formatCode="mm/dd/yyyy"/>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m/d/yyyy"/>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m/d/yyyy"/>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m/d/yyyy"/>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MAG_Ledger_Authorized" growShrinkType="insertClear" adjustColumnWidth="0" connectionId="2" autoFormatId="16" applyNumberFormats="0" applyBorderFormats="0" applyFontFormats="0" applyPatternFormats="0" applyAlignmentFormats="0" applyWidthHeightFormats="0">
  <queryTableRefresh nextId="23" unboundColumnsRight="1">
    <queryTableFields count="22">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13" tableColumnId="8"/>
      <queryTableField id="9" name="Submitted to FMS" tableColumnId="9"/>
      <queryTableField id="10" name="Submitted to FHWA" tableColumnId="10"/>
      <queryTableField id="11" name="FHWA Authorization" tableColumnId="11"/>
      <queryTableField id="12" name="CMAQ" tableColumnId="12"/>
      <queryTableField id="13" name="CMAQ 2_5" tableColumnId="13"/>
      <queryTableField id="14" name="HSIP" tableColumnId="14"/>
      <queryTableField id="15" name="PL" tableColumnId="15"/>
      <queryTableField id="16" name="SPR" tableColumnId="16"/>
      <queryTableField id="17" name="STP other" tableColumnId="17"/>
      <queryTableField id="18" name="STP over 200K" tableColumnId="18"/>
      <queryTableField id="19" name="TA other" tableColumnId="19"/>
      <queryTableField id="20" name="TA over 200K" tableColumnId="20"/>
      <queryTableField id="21" name="Federal Amount" tableColumnId="21"/>
      <queryTableField id="22" dataBound="0" tableColumnId="22"/>
    </queryTableFields>
  </queryTableRefresh>
</queryTable>
</file>

<file path=xl/queryTables/queryTable2.xml><?xml version="1.0" encoding="utf-8"?>
<queryTable xmlns="http://schemas.openxmlformats.org/spreadsheetml/2006/main" name="MAG_Ledger_Not_Authorized" growShrinkType="insertClear" adjustColumnWidth="0" connectionId="3" autoFormatId="16" applyNumberFormats="0" applyBorderFormats="0" applyFontFormats="0" applyPatternFormats="0" applyAlignmentFormats="0" applyWidthHeightFormats="0">
  <queryTableRefresh nextId="23" unboundColumnsRight="1">
    <queryTableFields count="22">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tableColumnId="8"/>
      <queryTableField id="9" name="Submitted to FMS" tableColumnId="9"/>
      <queryTableField id="10" name="Submitted to FHWA" tableColumnId="10"/>
      <queryTableField id="11" name="FHWA Authorization" tableColumnId="11"/>
      <queryTableField id="12" name="CMAQ" tableColumnId="12"/>
      <queryTableField id="13" name="CMAQ 2_5" tableColumnId="13"/>
      <queryTableField id="14" name="HSIP" tableColumnId="14"/>
      <queryTableField id="15" name="PL" tableColumnId="15"/>
      <queryTableField id="16" name="SPR" tableColumnId="16"/>
      <queryTableField id="17" name="STP other" tableColumnId="17"/>
      <queryTableField id="18" name="STP over 200K" tableColumnId="18"/>
      <queryTableField id="19" name="TA other" tableColumnId="19"/>
      <queryTableField id="20" name="TA over 200K" tableColumnId="20"/>
      <queryTableField id="21" name="Federal Amount" tableColumnId="21"/>
      <queryTableField id="22" dataBound="0" tableColumnId="22"/>
    </queryTableFields>
  </queryTableRefresh>
</queryTable>
</file>

<file path=xl/queryTables/queryTable3.xml><?xml version="1.0" encoding="utf-8"?>
<queryTable xmlns="http://schemas.openxmlformats.org/spreadsheetml/2006/main" name="MAGqryLedgerApports" growShrinkType="insertClear" adjustColumnWidth="0" connectionId="4"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queryTables/queryTable4.xml><?xml version="1.0" encoding="utf-8"?>
<queryTable xmlns="http://schemas.openxmlformats.org/spreadsheetml/2006/main" name="MAGqryLedgerOA" growShrinkType="insertClear" adjustColumnWidth="0" connectionId="5"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queryTables/queryTable5.xml><?xml version="1.0" encoding="utf-8"?>
<queryTable xmlns="http://schemas.openxmlformats.org/spreadsheetml/2006/main" name="MAG GANS DEBT SERVICE" connectionId="1" autoFormatId="16" applyNumberFormats="0" applyBorderFormats="0" applyFontFormats="0" applyPatternFormats="0" applyAlignmentFormats="0" applyWidthHeightFormats="0">
  <queryTableRefresh nextId="8">
    <queryTableFields count="6">
      <queryTableField id="2" name="Project8" tableColumnId="2"/>
      <queryTableField id="3" name="GANS YEAR" tableColumnId="3"/>
      <queryTableField id="4" name="FundingType" tableColumnId="4"/>
      <queryTableField id="5" name="ApportionmentAmount" tableColumnId="5"/>
      <queryTableField id="6" name="OAAmount" tableColumnId="6"/>
      <queryTableField id="7" name="Notes" tableColumnId="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6" name="Table_MAG_Ledger_Authorized" displayName="Table_MAG_Ledger_Authorized" ref="A18:V241" tableType="queryTable" totalsRowShown="0" headerRowDxfId="110" dataDxfId="109">
  <autoFilter ref="A18:V241"/>
  <tableColumns count="22">
    <tableColumn id="1" uniqueName="1" name="Entity" queryTableFieldId="1" dataDxfId="108"/>
    <tableColumn id="2" uniqueName="2" name="TIP#" queryTableFieldId="2" dataDxfId="107"/>
    <tableColumn id="3" uniqueName="3" name="ADOT#" queryTableFieldId="3" dataDxfId="106"/>
    <tableColumn id="4" uniqueName="4" name="Suffix" queryTableFieldId="4" dataDxfId="105"/>
    <tableColumn id="5" uniqueName="5" name="Fed#" queryTableFieldId="5" dataDxfId="104"/>
    <tableColumn id="6" uniqueName="6" name="Location" queryTableFieldId="6" dataDxfId="103"/>
    <tableColumn id="7" uniqueName="7" name="Sponsor" queryTableFieldId="7" dataDxfId="102"/>
    <tableColumn id="8" uniqueName="8" name="Action /13" queryTableFieldId="8" dataDxfId="101"/>
    <tableColumn id="9" uniqueName="9" name="Submitted to FMS" queryTableFieldId="9" dataDxfId="100"/>
    <tableColumn id="10" uniqueName="10" name="Submitted to FHWA" queryTableFieldId="10" dataDxfId="99"/>
    <tableColumn id="11" uniqueName="11" name="FHWA Authorization" queryTableFieldId="11" dataDxfId="98"/>
    <tableColumn id="12" uniqueName="12" name="CMAQ" queryTableFieldId="12" dataDxfId="97"/>
    <tableColumn id="13" uniqueName="13" name="CMAQ 2_5" queryTableFieldId="13" dataDxfId="96"/>
    <tableColumn id="14" uniqueName="14" name="HSIP" queryTableFieldId="14" dataDxfId="95"/>
    <tableColumn id="15" uniqueName="15" name="PL" queryTableFieldId="15" dataDxfId="94"/>
    <tableColumn id="16" uniqueName="16" name="SPR" queryTableFieldId="16" dataDxfId="93"/>
    <tableColumn id="17" uniqueName="17" name="STP other" queryTableFieldId="17" dataDxfId="92"/>
    <tableColumn id="18" uniqueName="18" name="STP over 200K" queryTableFieldId="18" dataDxfId="91"/>
    <tableColumn id="19" uniqueName="19" name="TA other" queryTableFieldId="19" dataDxfId="90"/>
    <tableColumn id="20" uniqueName="20" name="TA over 200K" queryTableFieldId="20" dataDxfId="89"/>
    <tableColumn id="21" uniqueName="21" name="Federal Amount" queryTableFieldId="21" dataDxfId="88"/>
    <tableColumn id="22" uniqueName="22" name="Declining Balance OA" queryTableFieldId="22" dataDxfId="87">
      <calculatedColumnFormula>V14-Table_MAG_Ledger_Authorized[[#This Row],[Federal Amount]]</calculatedColumnFormula>
    </tableColumn>
  </tableColumns>
  <tableStyleInfo name="TableStyleLight21" showFirstColumn="0" showLastColumn="0" showRowStripes="1" showColumnStripes="0"/>
</table>
</file>

<file path=xl/tables/table2.xml><?xml version="1.0" encoding="utf-8"?>
<table xmlns="http://schemas.openxmlformats.org/spreadsheetml/2006/main" id="7" name="Table_MAG_Ledger_Not_Authorized" displayName="Table_MAG_Ledger_Not_Authorized" ref="A248:V249" tableType="queryTable" totalsRowShown="0" headerRowDxfId="86" dataDxfId="85">
  <autoFilter ref="A248:V249"/>
  <tableColumns count="22">
    <tableColumn id="1" uniqueName="1" name="Entity" queryTableFieldId="1" dataDxfId="84"/>
    <tableColumn id="2" uniqueName="2" name="TIP#" queryTableFieldId="2" dataDxfId="83"/>
    <tableColumn id="3" uniqueName="3" name="ADOT#" queryTableFieldId="3" dataDxfId="82"/>
    <tableColumn id="4" uniqueName="4" name="Suffix" queryTableFieldId="4" dataDxfId="81"/>
    <tableColumn id="5" uniqueName="5" name="Fed#" queryTableFieldId="5" dataDxfId="80"/>
    <tableColumn id="6" uniqueName="6" name="Location" queryTableFieldId="6" dataDxfId="79"/>
    <tableColumn id="7" uniqueName="7" name="Sponsor" queryTableFieldId="7" dataDxfId="78"/>
    <tableColumn id="8" uniqueName="8" name="Action" queryTableFieldId="8" dataDxfId="77"/>
    <tableColumn id="9" uniqueName="9" name="Submitted to FMS" queryTableFieldId="9" dataDxfId="76"/>
    <tableColumn id="10" uniqueName="10" name="Submitted to FHWA" queryTableFieldId="10" dataDxfId="75"/>
    <tableColumn id="11" uniqueName="11" name="FHWA Authorization" queryTableFieldId="11" dataDxfId="74"/>
    <tableColumn id="12" uniqueName="12" name="CMAQ" queryTableFieldId="12" dataDxfId="73"/>
    <tableColumn id="13" uniqueName="13" name="CMAQ 2_5" queryTableFieldId="13" dataDxfId="72"/>
    <tableColumn id="14" uniqueName="14" name="HSIP" queryTableFieldId="14" dataDxfId="71"/>
    <tableColumn id="15" uniqueName="15" name="PL" queryTableFieldId="15" dataDxfId="70"/>
    <tableColumn id="16" uniqueName="16" name="SPR" queryTableFieldId="16" dataDxfId="69"/>
    <tableColumn id="17" uniqueName="17" name="STP other" queryTableFieldId="17" dataDxfId="68"/>
    <tableColumn id="18" uniqueName="18" name="STP over 200K" queryTableFieldId="18" dataDxfId="67"/>
    <tableColumn id="19" uniqueName="19" name="TA other" queryTableFieldId="19" dataDxfId="66"/>
    <tableColumn id="20" uniqueName="20" name="TA over 200K" queryTableFieldId="20" dataDxfId="65"/>
    <tableColumn id="21" uniqueName="21" name="Federal Amount" queryTableFieldId="21" dataDxfId="64"/>
    <tableColumn id="22" uniqueName="22" name="Projected Declining OA" queryTableFieldId="22" dataDxfId="63">
      <calculatedColumnFormula>V241-Table_MAG_Ledger_Not_Authorized[[#This Row],[Federal Amount]]</calculatedColumnFormula>
    </tableColumn>
  </tableColumns>
  <tableStyleInfo name="TableStyleLight21" showFirstColumn="0" showLastColumn="0" showRowStripes="1" showColumnStripes="0"/>
</table>
</file>

<file path=xl/tables/table3.xml><?xml version="1.0" encoding="utf-8"?>
<table xmlns="http://schemas.openxmlformats.org/spreadsheetml/2006/main" id="3" name="Table_MAGqryLedgerApports" displayName="Table_MAGqryLedgerApports" ref="A10:R25" tableType="queryTable" totalsRowShown="0" headerRowDxfId="62" dataDxfId="60" headerRowBorderDxfId="61" tableBorderDxfId="59" totalsRowBorderDxfId="58">
  <autoFilter ref="A10:R25"/>
  <tableColumns count="18">
    <tableColumn id="1" uniqueName="1" name="Transaction Year" queryTableFieldId="1" dataDxfId="57"/>
    <tableColumn id="2" uniqueName="2" name="Transaction Type" queryTableFieldId="2" dataDxfId="56"/>
    <tableColumn id="3" uniqueName="3" name="Number" queryTableFieldId="3" dataDxfId="55"/>
    <tableColumn id="4" uniqueName="4" name="From" queryTableFieldId="4" dataDxfId="54"/>
    <tableColumn id="5" uniqueName="5" name="To" queryTableFieldId="5" dataDxfId="53"/>
    <tableColumn id="6" uniqueName="6" name="Repayment Year" queryTableFieldId="6" dataDxfId="52"/>
    <tableColumn id="7" uniqueName="7" name="Project8" queryTableFieldId="7" dataDxfId="51"/>
    <tableColumn id="8" uniqueName="8" name="Notes" queryTableFieldId="8" dataDxfId="50"/>
    <tableColumn id="9" uniqueName="9" name="Total" queryTableFieldId="9" dataDxfId="49"/>
    <tableColumn id="10" uniqueName="10" name="CMAQ" queryTableFieldId="10" dataDxfId="48"/>
    <tableColumn id="11" uniqueName="11" name="CMAQ 2_5" queryTableFieldId="11" dataDxfId="47"/>
    <tableColumn id="12" uniqueName="12" name="HSIP" queryTableFieldId="12" dataDxfId="46"/>
    <tableColumn id="13" uniqueName="13" name="PL" queryTableFieldId="13" dataDxfId="45"/>
    <tableColumn id="14" uniqueName="14" name="SPR" queryTableFieldId="14" dataDxfId="44"/>
    <tableColumn id="15" uniqueName="15" name="STP other" queryTableFieldId="15" dataDxfId="43"/>
    <tableColumn id="16" uniqueName="16" name="STP over 200K" queryTableFieldId="16" dataDxfId="42"/>
    <tableColumn id="17" uniqueName="17" name="TA other" queryTableFieldId="17" dataDxfId="41"/>
    <tableColumn id="18" uniqueName="18" name="TA over 200K" queryTableFieldId="18" dataDxfId="40"/>
  </tableColumns>
  <tableStyleInfo name="TableStyleLight7" showFirstColumn="0" showLastColumn="0" showRowStripes="1" showColumnStripes="0"/>
</table>
</file>

<file path=xl/tables/table4.xml><?xml version="1.0" encoding="utf-8"?>
<table xmlns="http://schemas.openxmlformats.org/spreadsheetml/2006/main" id="4" name="Table_MAGqryLedgerOA" displayName="Table_MAGqryLedgerOA" ref="A28:R43" tableType="queryTable" totalsRowShown="0" headerRowDxfId="39" dataDxfId="37" headerRowBorderDxfId="38" tableBorderDxfId="36" totalsRowBorderDxfId="35">
  <autoFilter ref="A28:R43"/>
  <tableColumns count="18">
    <tableColumn id="1" uniqueName="1" name="Transaction Year" queryTableFieldId="1" dataDxfId="34"/>
    <tableColumn id="2" uniqueName="2" name="Transaction Type" queryTableFieldId="2" dataDxfId="33"/>
    <tableColumn id="3" uniqueName="3" name="Number" queryTableFieldId="3" dataDxfId="32"/>
    <tableColumn id="4" uniqueName="4" name="From" queryTableFieldId="4" dataDxfId="31"/>
    <tableColumn id="5" uniqueName="5" name="To" queryTableFieldId="5" dataDxfId="30"/>
    <tableColumn id="6" uniqueName="6" name="Repayment Year" queryTableFieldId="6" dataDxfId="29"/>
    <tableColumn id="7" uniqueName="7" name="Project8" queryTableFieldId="7" dataDxfId="28"/>
    <tableColumn id="8" uniqueName="8" name="Notes" queryTableFieldId="8" dataDxfId="27"/>
    <tableColumn id="9" uniqueName="9" name="Total" queryTableFieldId="9" dataDxfId="26"/>
    <tableColumn id="10" uniqueName="10" name="CMAQ" queryTableFieldId="10" dataDxfId="25"/>
    <tableColumn id="11" uniqueName="11" name="CMAQ 2_5" queryTableFieldId="11" dataDxfId="24"/>
    <tableColumn id="12" uniqueName="12" name="HSIP" queryTableFieldId="12" dataDxfId="23"/>
    <tableColumn id="13" uniqueName="13" name="PL" queryTableFieldId="13" dataDxfId="22"/>
    <tableColumn id="14" uniqueName="14" name="SPR" queryTableFieldId="14" dataDxfId="21"/>
    <tableColumn id="15" uniqueName="15" name="STP other" queryTableFieldId="15" dataDxfId="20"/>
    <tableColumn id="16" uniqueName="16" name="STP over 200K" queryTableFieldId="16" dataDxfId="19"/>
    <tableColumn id="17" uniqueName="17" name="TA other" queryTableFieldId="17" dataDxfId="18"/>
    <tableColumn id="18" uniqueName="18" name="TA over 200K" queryTableFieldId="18" dataDxfId="17"/>
  </tableColumns>
  <tableStyleInfo name="TableStyleLight7" showFirstColumn="0" showLastColumn="0" showRowStripes="1" showColumnStripes="0"/>
</table>
</file>

<file path=xl/tables/table5.xml><?xml version="1.0" encoding="utf-8"?>
<table xmlns="http://schemas.openxmlformats.org/spreadsheetml/2006/main" id="1" name="Table_MAG_GANS_DEBT_SERVICE" displayName="Table_MAG_GANS_DEBT_SERVICE" ref="A45:F68" tableType="queryTable" totalsRowCount="1" headerRowDxfId="16" dataDxfId="14" headerRowBorderDxfId="15" tableBorderDxfId="13" totalsRowBorderDxfId="12">
  <autoFilter ref="A45:F67"/>
  <tableColumns count="6">
    <tableColumn id="2" uniqueName="2" name="Project8" queryTableFieldId="2" dataDxfId="11" totalsRowDxfId="10"/>
    <tableColumn id="3" uniqueName="3" name="GANS YEAR" queryTableFieldId="3" dataDxfId="9" totalsRowDxfId="8"/>
    <tableColumn id="4" uniqueName="4" name="FundingType" queryTableFieldId="4" dataDxfId="7" totalsRowDxfId="6"/>
    <tableColumn id="5" uniqueName="5" name="ApportionmentAmount" totalsRowLabel="TOTALS" queryTableFieldId="5" dataDxfId="5" totalsRowDxfId="4"/>
    <tableColumn id="6" uniqueName="6" name="OAAmount" totalsRowFunction="custom" queryTableFieldId="6" dataDxfId="3" totalsRowDxfId="2" dataCellStyle="Comma">
      <totalsRowFormula>SUM(Table_MAG_GANS_DEBT_SERVICE[OAAmount])</totalsRowFormula>
    </tableColumn>
    <tableColumn id="7" uniqueName="7" name="Notes" queryTableFieldId="7" dataDxfId="1" totalsRow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262"/>
  <sheetViews>
    <sheetView tabSelected="1" view="pageBreakPreview" zoomScale="60" zoomScaleNormal="75" workbookViewId="0">
      <selection activeCell="I257" sqref="I257"/>
    </sheetView>
  </sheetViews>
  <sheetFormatPr defaultRowHeight="15" x14ac:dyDescent="0.25"/>
  <cols>
    <col min="1" max="1" width="9.28515625" style="5" bestFit="1" customWidth="1"/>
    <col min="2" max="2" width="20.85546875" style="5" bestFit="1" customWidth="1"/>
    <col min="3" max="3" width="10" style="5" bestFit="1" customWidth="1"/>
    <col min="4" max="4" width="8.85546875" style="5" customWidth="1"/>
    <col min="5" max="5" width="11.140625" style="5" bestFit="1" customWidth="1"/>
    <col min="6" max="6" width="25.28515625" style="5" customWidth="1"/>
    <col min="7" max="7" width="11.140625" style="5" customWidth="1"/>
    <col min="8" max="8" width="11" style="5" customWidth="1"/>
    <col min="9" max="9" width="14.85546875" style="7" customWidth="1"/>
    <col min="10" max="10" width="17.140625" style="7" customWidth="1"/>
    <col min="11" max="11" width="25.42578125" style="7" customWidth="1"/>
    <col min="12" max="12" width="17.28515625" style="6" bestFit="1" customWidth="1"/>
    <col min="13" max="13" width="13.7109375" style="6" customWidth="1"/>
    <col min="14" max="15" width="14.42578125" style="6" bestFit="1" customWidth="1"/>
    <col min="16" max="16" width="14.7109375" style="6" bestFit="1" customWidth="1"/>
    <col min="17" max="17" width="13.7109375" style="6" customWidth="1"/>
    <col min="18" max="18" width="16.42578125" style="6" customWidth="1"/>
    <col min="19" max="19" width="19.85546875" style="6" bestFit="1" customWidth="1"/>
    <col min="20" max="20" width="15.7109375" style="6" customWidth="1"/>
    <col min="21" max="21" width="17.5703125" style="6" customWidth="1"/>
    <col min="22" max="22" width="22.5703125" style="6" customWidth="1"/>
    <col min="23" max="23" width="15.7109375" style="5" customWidth="1"/>
    <col min="24" max="24" width="11.28515625" style="5" customWidth="1"/>
    <col min="25" max="25" width="10.42578125" style="5" customWidth="1"/>
    <col min="26" max="26" width="10.7109375" style="20" customWidth="1"/>
    <col min="27" max="27" width="36.42578125" style="107" customWidth="1"/>
    <col min="28" max="28" width="12.42578125" style="18" customWidth="1"/>
    <col min="29" max="29" width="13.28515625" style="11" customWidth="1"/>
    <col min="30" max="30" width="16.85546875" style="7" customWidth="1"/>
    <col min="31" max="31" width="14.42578125" style="7" customWidth="1"/>
    <col min="32" max="32" width="15.7109375" style="7" customWidth="1"/>
    <col min="33" max="33" width="15" style="6" bestFit="1" customWidth="1"/>
    <col min="34" max="34" width="14.42578125" style="6" customWidth="1"/>
    <col min="35" max="35" width="14.5703125" style="6" customWidth="1"/>
    <col min="36" max="36" width="13.28515625" style="6" customWidth="1"/>
    <col min="37" max="37" width="13.85546875" style="6" bestFit="1" customWidth="1"/>
    <col min="38" max="38" width="14.28515625" style="6" customWidth="1"/>
    <col min="39" max="39" width="16" style="6" customWidth="1"/>
    <col min="40" max="40" width="12.85546875" style="6" customWidth="1"/>
    <col min="41" max="41" width="15" style="6" customWidth="1"/>
    <col min="42" max="42" width="16" style="6" customWidth="1"/>
    <col min="43" max="43" width="18.5703125" style="6" customWidth="1"/>
    <col min="44" max="44" width="9.85546875" style="5" customWidth="1"/>
    <col min="45" max="45" width="10.140625" style="5" bestFit="1" customWidth="1"/>
    <col min="46" max="46" width="6.42578125" style="5" customWidth="1"/>
    <col min="47" max="47" width="11.5703125" style="5" customWidth="1"/>
    <col min="48" max="48" width="15.42578125" style="5" customWidth="1"/>
    <col min="49" max="49" width="10.7109375" style="5" customWidth="1"/>
    <col min="50" max="50" width="14.42578125" style="5" customWidth="1"/>
    <col min="51" max="51" width="11.5703125" style="5" customWidth="1"/>
    <col min="52" max="52" width="15.42578125" style="5" customWidth="1"/>
    <col min="53" max="53" width="10.7109375" style="5" customWidth="1"/>
    <col min="54" max="54" width="14.42578125" style="5" customWidth="1"/>
    <col min="55" max="55" width="14.42578125" style="5" bestFit="1" customWidth="1"/>
    <col min="56" max="56" width="13.7109375" style="5" bestFit="1" customWidth="1"/>
    <col min="57" max="57" width="14.85546875" style="5" customWidth="1"/>
    <col min="58" max="58" width="13.28515625" style="5" bestFit="1" customWidth="1"/>
    <col min="59" max="59" width="14.28515625" style="5" bestFit="1" customWidth="1"/>
    <col min="60" max="60" width="20" style="5" customWidth="1"/>
    <col min="61" max="61" width="12" style="5" bestFit="1" customWidth="1"/>
    <col min="62" max="62" width="21.5703125" style="5" customWidth="1"/>
    <col min="63" max="63" width="14" style="5" customWidth="1"/>
    <col min="64" max="64" width="11.5703125" style="5" customWidth="1"/>
    <col min="65" max="65" width="15.42578125" style="5" customWidth="1"/>
    <col min="66" max="66" width="10.7109375" style="5" customWidth="1"/>
    <col min="67" max="67" width="14.42578125" style="5" customWidth="1"/>
    <col min="68" max="68" width="15.7109375" style="5" customWidth="1"/>
    <col min="69" max="69" width="13.42578125" style="5" customWidth="1"/>
    <col min="70" max="70" width="15" style="5" customWidth="1"/>
    <col min="71" max="71" width="14.28515625" style="5" customWidth="1"/>
    <col min="72" max="72" width="13.28515625" style="5" bestFit="1" customWidth="1"/>
    <col min="73" max="73" width="11.42578125" style="5" customWidth="1"/>
    <col min="74" max="75" width="13.28515625" style="5" bestFit="1" customWidth="1"/>
    <col min="76" max="76" width="15.85546875" style="5" customWidth="1"/>
    <col min="77" max="77" width="23.85546875" style="5" customWidth="1"/>
    <col min="78" max="83" width="9.140625" style="13"/>
    <col min="84" max="16384" width="9.140625" style="5"/>
  </cols>
  <sheetData>
    <row r="1" spans="1:83" ht="21.75" thickBot="1" x14ac:dyDescent="0.3">
      <c r="A1" s="129" t="s">
        <v>70</v>
      </c>
      <c r="B1" s="129"/>
      <c r="C1" s="129"/>
      <c r="D1" s="129"/>
      <c r="E1" s="129"/>
      <c r="F1" s="129"/>
      <c r="G1" s="18"/>
      <c r="H1" s="11"/>
      <c r="I1" s="28"/>
      <c r="Z1" s="5"/>
      <c r="AA1" s="106"/>
      <c r="AB1" s="5"/>
      <c r="AC1" s="5"/>
      <c r="AD1" s="5"/>
      <c r="AE1" s="5"/>
      <c r="AF1" s="5"/>
      <c r="AG1" s="5"/>
      <c r="AH1" s="5"/>
      <c r="AI1" s="5"/>
      <c r="AJ1" s="5"/>
      <c r="AK1" s="5"/>
      <c r="AL1" s="5"/>
      <c r="AM1" s="5"/>
      <c r="AN1" s="5"/>
      <c r="AO1" s="5"/>
      <c r="AP1" s="5"/>
      <c r="AQ1" s="5"/>
      <c r="BZ1" s="5"/>
      <c r="CA1" s="5"/>
      <c r="CB1" s="5"/>
      <c r="CC1" s="5"/>
      <c r="CD1" s="5"/>
      <c r="CE1" s="5"/>
    </row>
    <row r="2" spans="1:83" ht="15" customHeight="1" x14ac:dyDescent="0.25">
      <c r="E2" s="20"/>
      <c r="F2" s="18"/>
      <c r="G2" s="18"/>
      <c r="H2" s="11"/>
      <c r="L2" s="137" t="s">
        <v>9</v>
      </c>
      <c r="M2" s="138"/>
      <c r="N2" s="138"/>
      <c r="O2" s="138"/>
      <c r="P2" s="138"/>
      <c r="Q2" s="138"/>
      <c r="R2" s="138"/>
      <c r="S2" s="138"/>
      <c r="T2" s="138"/>
      <c r="U2" s="139"/>
      <c r="V2" s="135" t="s">
        <v>15</v>
      </c>
      <c r="Z2" s="5"/>
      <c r="AA2" s="106"/>
      <c r="AB2" s="5"/>
      <c r="AC2" s="5"/>
      <c r="AD2" s="5"/>
      <c r="AE2" s="5"/>
      <c r="AF2" s="5"/>
      <c r="AG2" s="5"/>
      <c r="AH2" s="5"/>
      <c r="AI2" s="5"/>
      <c r="AJ2" s="5"/>
      <c r="AK2" s="5"/>
      <c r="AL2" s="5"/>
      <c r="AM2" s="5"/>
      <c r="AN2" s="5"/>
      <c r="AO2" s="5"/>
      <c r="AP2" s="5"/>
      <c r="AQ2" s="5"/>
      <c r="BZ2" s="5"/>
      <c r="CA2" s="5"/>
      <c r="CB2" s="5"/>
      <c r="CC2" s="5"/>
      <c r="CD2" s="5"/>
      <c r="CE2" s="5"/>
    </row>
    <row r="3" spans="1:83" x14ac:dyDescent="0.25">
      <c r="A3" s="130" t="s">
        <v>849</v>
      </c>
      <c r="B3" s="130"/>
      <c r="C3" s="130"/>
      <c r="D3" s="130"/>
      <c r="E3" s="130"/>
      <c r="F3" s="130"/>
      <c r="G3" s="22"/>
      <c r="H3" s="8"/>
      <c r="I3" s="132" t="s">
        <v>8</v>
      </c>
      <c r="J3" s="132"/>
      <c r="K3" s="133"/>
      <c r="L3" s="30" t="s">
        <v>71</v>
      </c>
      <c r="M3" s="29" t="s">
        <v>72</v>
      </c>
      <c r="N3" s="29" t="s">
        <v>532</v>
      </c>
      <c r="O3" s="29" t="s">
        <v>50</v>
      </c>
      <c r="P3" s="29" t="s">
        <v>1</v>
      </c>
      <c r="Q3" s="29" t="s">
        <v>2</v>
      </c>
      <c r="R3" s="29" t="s">
        <v>51</v>
      </c>
      <c r="S3" s="29" t="s">
        <v>52</v>
      </c>
      <c r="T3" s="29" t="s">
        <v>53</v>
      </c>
      <c r="U3" s="31" t="s">
        <v>7</v>
      </c>
      <c r="V3" s="136"/>
      <c r="W3" s="9"/>
      <c r="Z3" s="5"/>
      <c r="AA3" s="106"/>
      <c r="AB3" s="5"/>
      <c r="AC3" s="5"/>
      <c r="AD3" s="5"/>
      <c r="AE3" s="5"/>
      <c r="AF3" s="5"/>
      <c r="AG3" s="5"/>
      <c r="AH3" s="5"/>
      <c r="AI3" s="5"/>
      <c r="AJ3" s="5"/>
      <c r="AK3" s="5"/>
      <c r="AL3" s="5"/>
      <c r="AM3" s="5"/>
      <c r="AN3" s="5"/>
      <c r="AO3" s="5"/>
      <c r="AP3" s="5"/>
      <c r="AQ3" s="5"/>
      <c r="BZ3" s="5"/>
      <c r="CA3" s="5"/>
      <c r="CB3" s="5"/>
      <c r="CC3" s="5"/>
      <c r="CD3" s="5"/>
      <c r="CE3" s="5"/>
    </row>
    <row r="4" spans="1:83" ht="27.75" customHeight="1" x14ac:dyDescent="0.25">
      <c r="A4" s="130"/>
      <c r="B4" s="130"/>
      <c r="C4" s="130"/>
      <c r="D4" s="130"/>
      <c r="E4" s="130"/>
      <c r="F4" s="130"/>
      <c r="G4" s="22"/>
      <c r="H4" s="8"/>
      <c r="I4" s="140" t="s">
        <v>498</v>
      </c>
      <c r="J4" s="140"/>
      <c r="K4" s="141"/>
      <c r="L4" s="88">
        <f>208724.4+13141644.24</f>
        <v>13350368.640000001</v>
      </c>
      <c r="M4" s="85">
        <v>0</v>
      </c>
      <c r="N4" s="85">
        <v>0</v>
      </c>
      <c r="O4" s="85">
        <v>0</v>
      </c>
      <c r="P4" s="85">
        <v>0</v>
      </c>
      <c r="Q4" s="85">
        <v>0</v>
      </c>
      <c r="R4" s="84">
        <v>0</v>
      </c>
      <c r="S4" s="85">
        <v>0</v>
      </c>
      <c r="T4" s="85">
        <v>0</v>
      </c>
      <c r="U4" s="89">
        <f>SUM(L4:T4)</f>
        <v>13350368.640000001</v>
      </c>
      <c r="V4" s="79">
        <v>13437714</v>
      </c>
      <c r="W4" s="9" t="s">
        <v>13</v>
      </c>
      <c r="X4" s="43"/>
      <c r="Z4" s="5"/>
      <c r="AA4" s="106"/>
      <c r="AB4" s="5"/>
      <c r="AC4" s="5"/>
      <c r="AD4" s="5"/>
      <c r="AE4" s="5"/>
      <c r="AF4" s="5"/>
      <c r="AG4" s="5"/>
      <c r="AH4" s="5"/>
      <c r="AI4" s="5"/>
      <c r="AJ4" s="5"/>
      <c r="AK4" s="5"/>
      <c r="AL4" s="5"/>
      <c r="AM4" s="5"/>
      <c r="AN4" s="5"/>
      <c r="AO4" s="5"/>
      <c r="AP4" s="5"/>
      <c r="AQ4" s="5"/>
      <c r="BZ4" s="5"/>
      <c r="CA4" s="5"/>
      <c r="CB4" s="5"/>
      <c r="CC4" s="5"/>
      <c r="CD4" s="5"/>
      <c r="CE4" s="5"/>
    </row>
    <row r="5" spans="1:83" ht="30" customHeight="1" x14ac:dyDescent="0.25">
      <c r="A5" s="134" t="s">
        <v>844</v>
      </c>
      <c r="B5" s="134"/>
      <c r="E5" s="20"/>
      <c r="F5" s="18"/>
      <c r="G5" s="18"/>
      <c r="H5" s="11"/>
      <c r="I5" s="142" t="s">
        <v>633</v>
      </c>
      <c r="J5" s="142"/>
      <c r="K5" s="143"/>
      <c r="L5" s="77">
        <v>0</v>
      </c>
      <c r="M5" s="86">
        <v>0</v>
      </c>
      <c r="N5" s="86">
        <v>0</v>
      </c>
      <c r="O5" s="86">
        <v>0</v>
      </c>
      <c r="P5" s="86">
        <v>0</v>
      </c>
      <c r="Q5" s="86">
        <v>0</v>
      </c>
      <c r="R5" s="86">
        <f>50226512.39+16325.62</f>
        <v>50242838.009999998</v>
      </c>
      <c r="S5" s="86">
        <v>0</v>
      </c>
      <c r="T5" s="86">
        <v>0</v>
      </c>
      <c r="U5" s="90">
        <f>SUM(L5:T5)</f>
        <v>50242838.009999998</v>
      </c>
      <c r="V5" s="78">
        <v>0</v>
      </c>
      <c r="W5" s="9" t="s">
        <v>642</v>
      </c>
      <c r="Z5" s="5"/>
      <c r="AA5" s="106"/>
      <c r="AB5" s="5"/>
      <c r="AC5" s="5"/>
      <c r="AD5" s="5"/>
      <c r="AE5" s="5"/>
      <c r="AF5" s="5"/>
      <c r="AG5" s="5"/>
      <c r="AH5" s="5"/>
      <c r="AI5" s="5"/>
      <c r="AJ5" s="5"/>
      <c r="AK5" s="5"/>
      <c r="AL5" s="5"/>
      <c r="AM5" s="5"/>
      <c r="AN5" s="5"/>
      <c r="AO5" s="5"/>
      <c r="AP5" s="5"/>
      <c r="AQ5" s="5"/>
      <c r="BZ5" s="5"/>
      <c r="CA5" s="5"/>
      <c r="CB5" s="5"/>
      <c r="CC5" s="5"/>
      <c r="CD5" s="5"/>
      <c r="CE5" s="5"/>
    </row>
    <row r="6" spans="1:83" ht="15" customHeight="1" x14ac:dyDescent="0.25">
      <c r="A6" s="10"/>
      <c r="E6" s="20"/>
      <c r="F6" s="18"/>
      <c r="G6" s="18"/>
      <c r="H6" s="35"/>
      <c r="I6" s="145" t="s">
        <v>6</v>
      </c>
      <c r="J6" s="145"/>
      <c r="K6" s="146"/>
      <c r="L6" s="32">
        <v>48272275</v>
      </c>
      <c r="M6" s="33">
        <v>703807</v>
      </c>
      <c r="N6" s="33">
        <v>1388184</v>
      </c>
      <c r="O6" s="33">
        <v>3453919</v>
      </c>
      <c r="P6" s="33">
        <f>1250000</f>
        <v>1250000</v>
      </c>
      <c r="Q6" s="33">
        <f>1525717+975459</f>
        <v>2501176</v>
      </c>
      <c r="R6" s="33">
        <v>51540056</v>
      </c>
      <c r="S6" s="33">
        <f>107670+275354</f>
        <v>383024</v>
      </c>
      <c r="T6" s="33">
        <v>4227228</v>
      </c>
      <c r="U6" s="70">
        <f>SUM(L6:T6)</f>
        <v>113719669</v>
      </c>
      <c r="V6" s="64">
        <f>U6*0.955</f>
        <v>108602283.895</v>
      </c>
      <c r="W6" s="9" t="s">
        <v>14</v>
      </c>
      <c r="Z6" s="5"/>
      <c r="AA6" s="106"/>
      <c r="AB6" s="5"/>
      <c r="AC6" s="5"/>
      <c r="AD6" s="5"/>
      <c r="AE6" s="5"/>
      <c r="AF6" s="5"/>
      <c r="AG6" s="5"/>
      <c r="AH6" s="5"/>
      <c r="AI6" s="5"/>
      <c r="AJ6" s="5"/>
      <c r="AK6" s="5"/>
      <c r="AL6" s="5"/>
      <c r="AM6" s="5"/>
      <c r="AN6" s="5"/>
      <c r="AO6" s="5"/>
      <c r="AP6" s="5"/>
      <c r="AQ6" s="5"/>
      <c r="BZ6" s="5"/>
      <c r="CA6" s="5"/>
      <c r="CB6" s="5"/>
      <c r="CC6" s="5"/>
      <c r="CD6" s="5"/>
      <c r="CE6" s="5"/>
    </row>
    <row r="7" spans="1:83" ht="15" customHeight="1" x14ac:dyDescent="0.25">
      <c r="A7" s="131" t="s">
        <v>843</v>
      </c>
      <c r="B7" s="131"/>
      <c r="C7" s="131"/>
      <c r="D7" s="131"/>
      <c r="E7" s="131"/>
      <c r="F7" s="131"/>
      <c r="G7" s="18"/>
      <c r="H7" s="35"/>
      <c r="I7" s="142" t="s">
        <v>634</v>
      </c>
      <c r="J7" s="142"/>
      <c r="K7" s="143"/>
      <c r="L7" s="69">
        <f>SUMIFS(Table_MAGqryLedgerApports[[#All],[CMAQ]],Table_MAGqryLedgerApports[[#All],[Transaction Year]],"2013",Table_MAGqryLedgerApports[[#All],[Transaction Type]],"Loan In")</f>
        <v>0</v>
      </c>
      <c r="M7" s="87">
        <f>SUMIFS(Table_MAGqryLedgerApports[[#All],[CMAQ 2_5]],Table_MAGqryLedgerApports[[#All],[Transaction Year]],"2013",Table_MAGqryLedgerApports[[#All],[Transaction Type]],"Loan In")</f>
        <v>0</v>
      </c>
      <c r="N7" s="87">
        <f>SUMIFS(Table_MAGqryLedgerApports[[#All],[HSIP]],Table_MAGqryLedgerApports[[#All],[Transaction Year]],"2013",Table_MAGqryLedgerApports[[#All],[Transaction Type]],"Loan In")</f>
        <v>0</v>
      </c>
      <c r="O7" s="87">
        <f>SUMIFS(Table_MAGqryLedgerApports[[#All],[PL]],Table_MAGqryLedgerApports[[#All],[Transaction Year]],"2013",Table_MAGqryLedgerApports[[#All],[Transaction Type]],"Loan In")</f>
        <v>0</v>
      </c>
      <c r="P7" s="87">
        <f>SUMIFS(Table_MAGqryLedgerApports[[#All],[SPR]],Table_MAGqryLedgerApports[[#All],[Transaction Year]],"2013",Table_MAGqryLedgerApports[[#All],[Transaction Type]],"Loan In")</f>
        <v>1250000</v>
      </c>
      <c r="Q7" s="87">
        <f>SUMIFS(Table_MAGqryLedgerApports[[#All],[STP other]],Table_MAGqryLedgerApports[[#All],[Transaction Year]],"2013",Table_MAGqryLedgerApports[[#All],[Transaction Type]],"Loan In")</f>
        <v>1015069</v>
      </c>
      <c r="R7" s="87">
        <f>SUMIFS(Table_MAGqryLedgerApports[[#All],[STP over 200K]],Table_MAGqryLedgerApports[[#All],[Transaction Year]],"2013",Table_MAGqryLedgerApports[[#All],[Transaction Type]],"Loan In")</f>
        <v>0</v>
      </c>
      <c r="S7" s="87">
        <f>SUMIFS(Table_MAGqryLedgerApports[[#All],[TA other]],Table_MAGqryLedgerApports[[#All],[Transaction Year]],"2013",Table_MAGqryLedgerApports[[#All],[Transaction Type]],"Loan In")</f>
        <v>0</v>
      </c>
      <c r="T7" s="87">
        <f>SUMIFS(Table_MAGqryLedgerApports[[#All],[TA over 200K]],Table_MAGqryLedgerApports[[#All],[Transaction Year]],"2013",Table_MAGqryLedgerApports[[#All],[Transaction Type]],"Loan In")</f>
        <v>0</v>
      </c>
      <c r="U7" s="71">
        <f t="shared" ref="U7:U12" si="0">SUM(L7:T7)</f>
        <v>2265069</v>
      </c>
      <c r="V7" s="66">
        <f>SUMIFS(Table_MAGqryLedgerOA[[#All],[Total]],Table_MAGqryLedgerOA[[#All],[Transaction Year]],"2013",Table_MAGqryLedgerOA[[#All],[Transaction Type]],"Loan In")</f>
        <v>1421148.81</v>
      </c>
      <c r="W7" s="9" t="s">
        <v>643</v>
      </c>
      <c r="Z7" s="5"/>
      <c r="AA7" s="106"/>
      <c r="AB7" s="5"/>
      <c r="AC7" s="5"/>
      <c r="AD7" s="5"/>
      <c r="AE7" s="5"/>
      <c r="AF7" s="5"/>
      <c r="AG7" s="5"/>
      <c r="AH7" s="5"/>
      <c r="AI7" s="5"/>
      <c r="AJ7" s="5"/>
      <c r="AK7" s="5"/>
      <c r="AL7" s="5"/>
      <c r="AM7" s="5"/>
      <c r="AN7" s="5"/>
      <c r="AO7" s="5"/>
      <c r="AP7" s="5"/>
      <c r="AQ7" s="5"/>
      <c r="BZ7" s="5"/>
      <c r="CA7" s="5"/>
      <c r="CB7" s="5"/>
      <c r="CC7" s="5"/>
      <c r="CD7" s="5"/>
      <c r="CE7" s="5"/>
    </row>
    <row r="8" spans="1:83" ht="15" customHeight="1" x14ac:dyDescent="0.25">
      <c r="A8" s="10"/>
      <c r="E8" s="20"/>
      <c r="F8" s="18"/>
      <c r="G8" s="18"/>
      <c r="H8" s="35"/>
      <c r="I8" s="145" t="s">
        <v>635</v>
      </c>
      <c r="J8" s="145"/>
      <c r="K8" s="146"/>
      <c r="L8" s="32">
        <f>SUMIFS(Table_MAGqryLedgerApports[[#All],[CMAQ]],Table_MAGqryLedgerApports[[#All],[Transaction Year]],"2013",Table_MAGqryLedgerApports[[#All],[Transaction Type]],"Loan Out")</f>
        <v>0</v>
      </c>
      <c r="M8" s="33">
        <f>SUMIFS(Table_MAGqryLedgerApports[[#All],[CMAQ 2_5]],Table_MAGqryLedgerApports[[#All],[Transaction Year]],"2013",Table_MAGqryLedgerApports[[#All],[Transaction Type]],"Loan Out")</f>
        <v>0</v>
      </c>
      <c r="N8" s="33">
        <f>SUMIFS(Table_MAGqryLedgerApports[[#All],[HSIP]],Table_MAGqryLedgerApports[[#All],[Transaction Year]],"2013",Table_MAGqryLedgerApports[[#All],[Transaction Type]],"Loan Out")</f>
        <v>0</v>
      </c>
      <c r="O8" s="33">
        <f>SUMIFS(Table_MAGqryLedgerApports[[#All],[PL]],Table_MAGqryLedgerApports[[#All],[Transaction Year]],"2013",Table_MAGqryLedgerApports[[#All],[Transaction Type]],"Loan Out")</f>
        <v>0</v>
      </c>
      <c r="P8" s="33">
        <f>SUMIFS(Table_MAGqryLedgerApports[[#All],[SPR]],Table_MAGqryLedgerApports[[#All],[Transaction Year]],"2013",Table_MAGqryLedgerApports[[#All],[Transaction Type]],"Loan Out")</f>
        <v>0</v>
      </c>
      <c r="Q8" s="33">
        <f>SUMIFS(Table_MAGqryLedgerApports[[#All],[STP other]],Table_MAGqryLedgerApports[[#All],[Transaction Year]],"2013",Table_MAGqryLedgerApports[[#All],[Transaction Type]],"Loan Out")</f>
        <v>0</v>
      </c>
      <c r="R8" s="33">
        <f>SUMIFS(Table_MAGqryLedgerApports[[#All],[STP over 200K]],Table_MAGqryLedgerApports[[#All],[Transaction Year]],"2013",Table_MAGqryLedgerApports[[#All],[Transaction Type]],"Loan Out")</f>
        <v>0</v>
      </c>
      <c r="S8" s="33">
        <f>SUMIFS(Table_MAGqryLedgerApports[[#All],[TA other]],Table_MAGqryLedgerApports[[#All],[Transaction Year]],"2013",Table_MAGqryLedgerApports[[#All],[Transaction Type]],"Loan Out")</f>
        <v>0</v>
      </c>
      <c r="T8" s="33">
        <f>SUMIFS(Table_MAGqryLedgerApports[[#All],[TA over 200K]],Table_MAGqryLedgerApports[[#All],[Transaction Year]],"2013",Table_MAGqryLedgerApports[[#All],[Transaction Type]],"Loan Out")</f>
        <v>0</v>
      </c>
      <c r="U8" s="70">
        <f t="shared" si="0"/>
        <v>0</v>
      </c>
      <c r="V8" s="64">
        <f>SUMIFS(Table_MAGqryLedgerOA[[#All],[Total]],Table_MAGqryLedgerOA[[#All],[Transaction Year]],"2013",Table_MAGqryLedgerOA[[#All],[Transaction Type]],"Loan Out")</f>
        <v>0</v>
      </c>
      <c r="W8" s="9" t="s">
        <v>17</v>
      </c>
      <c r="Z8" s="5"/>
      <c r="AA8" s="106"/>
      <c r="AB8" s="5"/>
      <c r="AC8" s="5"/>
      <c r="AD8" s="5"/>
      <c r="AE8" s="5"/>
      <c r="AF8" s="5"/>
      <c r="AG8" s="5"/>
      <c r="AH8" s="5"/>
      <c r="AI8" s="5"/>
      <c r="AJ8" s="5"/>
      <c r="AK8" s="5"/>
      <c r="AL8" s="5"/>
      <c r="AM8" s="5"/>
      <c r="AN8" s="5"/>
      <c r="AO8" s="5"/>
      <c r="AP8" s="5"/>
      <c r="AQ8" s="5"/>
      <c r="BZ8" s="5"/>
      <c r="CA8" s="5"/>
      <c r="CB8" s="5"/>
      <c r="CC8" s="5"/>
      <c r="CD8" s="5"/>
      <c r="CE8" s="5"/>
    </row>
    <row r="9" spans="1:83" ht="15" customHeight="1" x14ac:dyDescent="0.25">
      <c r="A9" s="10"/>
      <c r="E9" s="20"/>
      <c r="F9" s="18"/>
      <c r="G9" s="18"/>
      <c r="H9" s="35"/>
      <c r="I9" s="147" t="s">
        <v>636</v>
      </c>
      <c r="J9" s="147"/>
      <c r="K9" s="148"/>
      <c r="L9" s="69">
        <f>SUMIFS(Table_MAGqryLedgerApports[[#All],[CMAQ]],Table_MAGqryLedgerApports[[#All],[Transaction Year]],"2013",Table_MAGqryLedgerApports[[#All],[Transaction Type]],"Repayment In")</f>
        <v>0</v>
      </c>
      <c r="M9" s="87">
        <f>SUMIFS(Table_MAGqryLedgerApports[[#All],[CMAQ 2_5]],Table_MAGqryLedgerApports[[#All],[Transaction Year]],"2013",Table_MAGqryLedgerApports[[#All],[Transaction Type]],"Repayment In")</f>
        <v>0</v>
      </c>
      <c r="N9" s="87">
        <f>SUMIFS(Table_MAGqryLedgerApports[[#All],[HSIP]],Table_MAGqryLedgerApports[[#All],[Transaction Year]],"2013",Table_MAGqryLedgerApports[[#All],[Transaction Type]],"Repayment In")</f>
        <v>0</v>
      </c>
      <c r="O9" s="87">
        <f>SUMIFS(Table_MAGqryLedgerApports[[#All],[PL]],Table_MAGqryLedgerApports[[#All],[Transaction Year]],"2013",Table_MAGqryLedgerApports[[#All],[Transaction Type]],"Repayment In")</f>
        <v>0</v>
      </c>
      <c r="P9" s="87">
        <f>SUMIFS(Table_MAGqryLedgerApports[[#All],[SPR]],Table_MAGqryLedgerApports[[#All],[Transaction Year]],"2013",Table_MAGqryLedgerApports[[#All],[Transaction Type]],"Repayment In")</f>
        <v>0</v>
      </c>
      <c r="Q9" s="87">
        <f>SUMIFS(Table_MAGqryLedgerApports[[#All],[STP other]],Table_MAGqryLedgerApports[[#All],[Transaction Year]],"2013",Table_MAGqryLedgerApports[[#All],[Transaction Type]],"Repayment In")</f>
        <v>0</v>
      </c>
      <c r="R9" s="87">
        <f>SUMIFS(Table_MAGqryLedgerApports[[#All],[STP over 200K]],Table_MAGqryLedgerApports[[#All],[Transaction Year]],"2013",Table_MAGqryLedgerApports[[#All],[Transaction Type]],"Repayment In")</f>
        <v>0</v>
      </c>
      <c r="S9" s="87">
        <f>SUMIFS(Table_MAGqryLedgerApports[[#All],[TA other]],Table_MAGqryLedgerApports[[#All],[Transaction Year]],"2013",Table_MAGqryLedgerApports[[#All],[Transaction Type]],"Repayment In")</f>
        <v>0</v>
      </c>
      <c r="T9" s="87">
        <f>SUMIFS(Table_MAGqryLedgerApports[[#All],[TA over 200K]],Table_MAGqryLedgerApports[[#All],[Transaction Year]],"2013",Table_MAGqryLedgerApports[[#All],[Transaction Type]],"Repayment In")</f>
        <v>0</v>
      </c>
      <c r="U9" s="71">
        <f t="shared" si="0"/>
        <v>0</v>
      </c>
      <c r="V9" s="66">
        <f>SUMIFS(Table_MAGqryLedgerOA[[#All],[Total]],Table_MAGqryLedgerOA[[#All],[Transaction Year]],"2013",Table_MAGqryLedgerOA[[#All],[Transaction Type]],"Repayment In")</f>
        <v>0</v>
      </c>
      <c r="W9" s="9" t="s">
        <v>38</v>
      </c>
      <c r="Z9" s="5"/>
      <c r="AA9" s="106"/>
      <c r="AB9" s="5"/>
      <c r="AC9" s="5"/>
      <c r="AD9" s="5"/>
      <c r="AE9" s="5"/>
      <c r="AF9" s="5"/>
      <c r="AG9" s="5"/>
      <c r="AH9" s="5"/>
      <c r="AI9" s="5"/>
      <c r="AJ9" s="5"/>
      <c r="AK9" s="5"/>
      <c r="AL9" s="5"/>
      <c r="AM9" s="5"/>
      <c r="AN9" s="5"/>
      <c r="AO9" s="5"/>
      <c r="AP9" s="5"/>
      <c r="AQ9" s="5"/>
      <c r="BZ9" s="5"/>
      <c r="CA9" s="5"/>
      <c r="CB9" s="5"/>
      <c r="CC9" s="5"/>
      <c r="CD9" s="5"/>
      <c r="CE9" s="5"/>
    </row>
    <row r="10" spans="1:83" ht="15" customHeight="1" x14ac:dyDescent="0.25">
      <c r="A10" s="10"/>
      <c r="E10" s="20"/>
      <c r="F10" s="18"/>
      <c r="G10" s="18"/>
      <c r="H10" s="35"/>
      <c r="I10" s="145" t="s">
        <v>637</v>
      </c>
      <c r="J10" s="145"/>
      <c r="K10" s="146"/>
      <c r="L10" s="32">
        <f>SUMIFS(Table_MAGqryLedgerApports[[#All],[CMAQ]],Table_MAGqryLedgerApports[[#All],[Transaction Year]],"2013",Table_MAGqryLedgerApports[[#All],[Transaction Type]],"Repayment Out")</f>
        <v>0</v>
      </c>
      <c r="M10" s="33">
        <f>SUMIFS(Table_MAGqryLedgerApports[[#All],[CMAQ 2_5]],Table_MAGqryLedgerApports[[#All],[Transaction Year]],"2013",Table_MAGqryLedgerApports[[#All],[Transaction Type]],"Repayment Out")</f>
        <v>0</v>
      </c>
      <c r="N10" s="33">
        <f>SUMIFS(Table_MAGqryLedgerApports[[#All],[HSIP]],Table_MAGqryLedgerApports[[#All],[Transaction Year]],"2013",Table_MAGqryLedgerApports[[#All],[Transaction Type]],"Repayment Out")</f>
        <v>0</v>
      </c>
      <c r="O10" s="33">
        <f>SUMIFS(Table_MAGqryLedgerApports[[#All],[PL]],Table_MAGqryLedgerApports[[#All],[Transaction Year]],"2013",Table_MAGqryLedgerApports[[#All],[Transaction Type]],"Repayment Out")</f>
        <v>0</v>
      </c>
      <c r="P10" s="33">
        <f>SUMIFS(Table_MAGqryLedgerApports[[#All],[SPR]],Table_MAGqryLedgerApports[[#All],[Transaction Year]],"2013",Table_MAGqryLedgerApports[[#All],[Transaction Type]],"Repayment Out")</f>
        <v>0</v>
      </c>
      <c r="Q10" s="33">
        <f>SUMIFS(Table_MAGqryLedgerApports[[#All],[STP other]],Table_MAGqryLedgerApports[[#All],[Transaction Year]],"2013",Table_MAGqryLedgerApports[[#All],[Transaction Type]],"Repayment Out")</f>
        <v>0</v>
      </c>
      <c r="R10" s="33">
        <f>SUMIFS(Table_MAGqryLedgerApports[[#All],[STP over 200K]],Table_MAGqryLedgerApports[[#All],[Transaction Year]],"2013",Table_MAGqryLedgerApports[[#All],[Transaction Type]],"Repayment Out")</f>
        <v>0</v>
      </c>
      <c r="S10" s="33">
        <f>SUMIFS(Table_MAGqryLedgerApports[[#All],[TA other]],Table_MAGqryLedgerApports[[#All],[Transaction Year]],"2013",Table_MAGqryLedgerApports[[#All],[Transaction Type]],"Repayment Out")</f>
        <v>0</v>
      </c>
      <c r="T10" s="33">
        <f>SUMIFS(Table_MAGqryLedgerApports[[#All],[TA over 200K]],Table_MAGqryLedgerApports[[#All],[Transaction Year]],"2013",Table_MAGqryLedgerApports[[#All],[Transaction Type]],"Repayment Out")</f>
        <v>0</v>
      </c>
      <c r="U10" s="70">
        <f t="shared" si="0"/>
        <v>0</v>
      </c>
      <c r="V10" s="64">
        <f>SUMIFS(Table_MAGqryLedgerOA[[#All],[Total]],Table_MAGqryLedgerOA[[#All],[Transaction Year]],"2013",Table_MAGqryLedgerOA[[#All],[Transaction Type]],"Repayment Out")</f>
        <v>0</v>
      </c>
      <c r="W10" s="9" t="s">
        <v>644</v>
      </c>
      <c r="Z10" s="5"/>
      <c r="AA10" s="106"/>
      <c r="AB10" s="5"/>
      <c r="AC10" s="5"/>
      <c r="AD10" s="5"/>
      <c r="AE10" s="5"/>
      <c r="AF10" s="5"/>
      <c r="AG10" s="5"/>
      <c r="AH10" s="5"/>
      <c r="AI10" s="5"/>
      <c r="AJ10" s="5"/>
      <c r="AK10" s="5"/>
      <c r="AL10" s="5"/>
      <c r="AM10" s="5"/>
      <c r="AN10" s="5"/>
      <c r="AO10" s="5"/>
      <c r="AP10" s="5"/>
      <c r="AQ10" s="5"/>
      <c r="BZ10" s="5"/>
      <c r="CA10" s="5"/>
      <c r="CB10" s="5"/>
      <c r="CC10" s="5"/>
      <c r="CD10" s="5"/>
      <c r="CE10" s="5"/>
    </row>
    <row r="11" spans="1:83" ht="15" customHeight="1" x14ac:dyDescent="0.25">
      <c r="E11" s="20"/>
      <c r="F11" s="18"/>
      <c r="G11" s="18"/>
      <c r="H11" s="11"/>
      <c r="I11" s="142" t="s">
        <v>638</v>
      </c>
      <c r="J11" s="142"/>
      <c r="K11" s="143"/>
      <c r="L11" s="69">
        <f>SUMIFS(Table_MAGqryLedgerApports[[#All],[CMAQ]],Table_MAGqryLedgerApports[[#All],[Transaction Year]],"2013",Table_MAGqryLedgerApports[[#All],[Transaction Type]],"Transfer In")</f>
        <v>0</v>
      </c>
      <c r="M11" s="87">
        <f>SUMIFS(Table_MAGqryLedgerApports[[#All],[CMAQ 2_5]],Table_MAGqryLedgerApports[[#All],[Transaction Year]],"2013",Table_MAGqryLedgerApports[[#All],[Transaction Type]],"Transfer In")</f>
        <v>0</v>
      </c>
      <c r="N11" s="87">
        <f>SUMIFS(Table_MAGqryLedgerApports[[#All],[HSIP]],Table_MAGqryLedgerApports[[#All],[Transaction Year]],"2013",Table_MAGqryLedgerApports[[#All],[Transaction Type]],"Transfer In")</f>
        <v>3349881</v>
      </c>
      <c r="O11" s="87">
        <f>SUMIFS(Table_MAGqryLedgerApports[[#All],[PL]],Table_MAGqryLedgerApports[[#All],[Transaction Year]],"2013",Table_MAGqryLedgerApports[[#All],[Transaction Type]],"Transfer In")</f>
        <v>0</v>
      </c>
      <c r="P11" s="87">
        <f>SUMIFS(Table_MAGqryLedgerApports[[#All],[SPR]],Table_MAGqryLedgerApports[[#All],[Transaction Year]],"2013",Table_MAGqryLedgerApports[[#All],[Transaction Type]],"Transfer In")</f>
        <v>0</v>
      </c>
      <c r="Q11" s="87">
        <f>SUMIFS(Table_MAGqryLedgerApports[[#All],[STP other]],Table_MAGqryLedgerApports[[#All],[Transaction Year]],"2013",Table_MAGqryLedgerApports[[#All],[Transaction Type]],"Transfer In")</f>
        <v>565445</v>
      </c>
      <c r="R11" s="87">
        <f>SUMIFS(Table_MAGqryLedgerApports[[#All],[STP over 200K]],Table_MAGqryLedgerApports[[#All],[Transaction Year]],"2013",Table_MAGqryLedgerApports[[#All],[Transaction Type]],"Transfer In")</f>
        <v>0</v>
      </c>
      <c r="S11" s="87">
        <f>SUMIFS(Table_MAGqryLedgerApports[[#All],[TA other]],Table_MAGqryLedgerApports[[#All],[Transaction Year]],"2013",Table_MAGqryLedgerApports[[#All],[Transaction Type]],"Transfer In")</f>
        <v>0</v>
      </c>
      <c r="T11" s="87">
        <f>SUMIFS(Table_MAGqryLedgerApports[[#All],[TA over 200K]],Table_MAGqryLedgerApports[[#All],[Transaction Year]],"2013",Table_MAGqryLedgerApports[[#All],[Transaction Type]],"Transfer In")</f>
        <v>0</v>
      </c>
      <c r="U11" s="71">
        <f t="shared" si="0"/>
        <v>3915326</v>
      </c>
      <c r="V11" s="67">
        <f>SUMIFS(Table_MAGqryLedgerOA[[#All],[Total]],Table_MAGqryLedgerOA[[#All],[Transaction Year]],"2013",Table_MAGqryLedgerOA[[#All],[Transaction Type]],"Transfer In")</f>
        <v>3889881</v>
      </c>
      <c r="W11" s="9" t="s">
        <v>645</v>
      </c>
      <c r="Z11" s="5"/>
      <c r="AA11" s="106"/>
      <c r="AB11" s="5"/>
      <c r="AC11" s="5"/>
      <c r="AD11" s="5"/>
      <c r="AE11" s="5"/>
      <c r="AF11" s="5"/>
      <c r="AG11" s="5"/>
      <c r="AH11" s="5"/>
      <c r="AI11" s="5"/>
      <c r="AJ11" s="5"/>
      <c r="AK11" s="5"/>
      <c r="AL11" s="5"/>
      <c r="AM11" s="5"/>
      <c r="AN11" s="5"/>
      <c r="AO11" s="5"/>
      <c r="AP11" s="5"/>
      <c r="AQ11" s="5"/>
      <c r="BZ11" s="5"/>
      <c r="CA11" s="5"/>
      <c r="CB11" s="5"/>
      <c r="CC11" s="5"/>
      <c r="CD11" s="5"/>
      <c r="CE11" s="5"/>
    </row>
    <row r="12" spans="1:83" ht="15" customHeight="1" x14ac:dyDescent="0.25">
      <c r="G12" s="18"/>
      <c r="H12" s="11"/>
      <c r="I12" s="145" t="s">
        <v>639</v>
      </c>
      <c r="J12" s="145"/>
      <c r="K12" s="146"/>
      <c r="L12" s="32">
        <f>SUMIFS(Table_MAGqryLedgerApports[[#All],[CMAQ]],Table_MAGqryLedgerApports[[#All],[Transaction Year]],"2013",Table_MAGqryLedgerApports[[#All],[Transaction Type]],"Transfer Out")</f>
        <v>0</v>
      </c>
      <c r="M12" s="33">
        <f>SUMIFS(Table_MAGqryLedgerApports[[#All],[CMAQ 2_5]],Table_MAGqryLedgerApports[[#All],[Transaction Year]],"2013",Table_MAGqryLedgerApports[[#All],[Transaction Type]],"Transfer Out")</f>
        <v>0</v>
      </c>
      <c r="N12" s="33">
        <f>SUMIFS(Table_MAGqryLedgerApports[[#All],[HSIP]],Table_MAGqryLedgerApports[[#All],[Transaction Year]],"2013",Table_MAGqryLedgerApports[[#All],[Transaction Type]],"Transfer Out")</f>
        <v>0</v>
      </c>
      <c r="O12" s="33">
        <f>SUMIFS(Table_MAGqryLedgerApports[[#All],[PL]],Table_MAGqryLedgerApports[[#All],[Transaction Year]],"2013",Table_MAGqryLedgerApports[[#All],[Transaction Type]],"Transfer Out")</f>
        <v>0</v>
      </c>
      <c r="P12" s="33">
        <f>SUMIFS(Table_MAGqryLedgerApports[[#All],[SPR]],Table_MAGqryLedgerApports[[#All],[Transaction Year]],"2013",Table_MAGqryLedgerApports[[#All],[Transaction Type]],"Transfer Out")</f>
        <v>0</v>
      </c>
      <c r="Q12" s="33">
        <f>SUMIFS(Table_MAGqryLedgerApports[[#All],[STP other]],Table_MAGqryLedgerApports[[#All],[Transaction Year]],"2013",Table_MAGqryLedgerApports[[#All],[Transaction Type]],"Transfer Out")</f>
        <v>0</v>
      </c>
      <c r="R12" s="33">
        <f>SUMIFS(Table_MAGqryLedgerApports[[#All],[STP over 200K]],Table_MAGqryLedgerApports[[#All],[Transaction Year]],"2013",Table_MAGqryLedgerApports[[#All],[Transaction Type]],"Transfer Out")</f>
        <v>0</v>
      </c>
      <c r="S12" s="33">
        <f>SUMIFS(Table_MAGqryLedgerApports[[#All],[TA other]],Table_MAGqryLedgerApports[[#All],[Transaction Year]],"2013",Table_MAGqryLedgerApports[[#All],[Transaction Type]],"Transfer Out")</f>
        <v>0</v>
      </c>
      <c r="T12" s="33">
        <f>SUMIFS(Table_MAGqryLedgerApports[[#All],[TA over 200K]],Table_MAGqryLedgerApports[[#All],[Transaction Year]],"2013",Table_MAGqryLedgerApports[[#All],[Transaction Type]],"Transfer Out")</f>
        <v>0</v>
      </c>
      <c r="U12" s="70">
        <f t="shared" si="0"/>
        <v>0</v>
      </c>
      <c r="V12" s="83">
        <f>SUMIFS(Table_MAGqryLedgerOA[[#All],[Total]],Table_MAGqryLedgerOA[[#All],[Transaction Year]],"2013",Table_MAGqryLedgerOA[[#All],[Transaction Type]],"Transfer Out")</f>
        <v>0</v>
      </c>
      <c r="W12" s="12" t="s">
        <v>594</v>
      </c>
      <c r="Z12" s="5"/>
      <c r="AA12" s="106"/>
      <c r="AB12" s="5"/>
      <c r="AC12" s="5"/>
      <c r="AD12" s="5"/>
      <c r="AE12" s="5"/>
      <c r="AF12" s="5"/>
      <c r="AG12" s="5"/>
      <c r="AH12" s="5"/>
      <c r="AI12" s="5"/>
      <c r="AJ12" s="5"/>
      <c r="AK12" s="5"/>
      <c r="AL12" s="5"/>
      <c r="AM12" s="5"/>
      <c r="AN12" s="5"/>
      <c r="AO12" s="5"/>
      <c r="AP12" s="5"/>
      <c r="AQ12" s="5"/>
      <c r="BZ12" s="5"/>
      <c r="CA12" s="5"/>
      <c r="CB12" s="5"/>
      <c r="CC12" s="5"/>
      <c r="CD12" s="5"/>
      <c r="CE12" s="5"/>
    </row>
    <row r="13" spans="1:83" ht="15" customHeight="1" thickBot="1" x14ac:dyDescent="0.3">
      <c r="G13" s="18"/>
      <c r="H13" s="75"/>
      <c r="I13" s="142" t="s">
        <v>737</v>
      </c>
      <c r="J13" s="142"/>
      <c r="K13" s="143"/>
      <c r="L13" s="91"/>
      <c r="M13" s="92"/>
      <c r="N13" s="92"/>
      <c r="O13" s="92"/>
      <c r="P13" s="92"/>
      <c r="Q13" s="92"/>
      <c r="R13" s="92"/>
      <c r="S13" s="92"/>
      <c r="T13" s="92"/>
      <c r="U13" s="93"/>
      <c r="V13" s="104">
        <f>-Table_MAG_GANS_DEBT_SERVICE[[#Totals],[OAAmount]]</f>
        <v>-33815149.439999998</v>
      </c>
      <c r="W13" s="12"/>
      <c r="Z13" s="5"/>
      <c r="AA13" s="106"/>
      <c r="AB13" s="5"/>
      <c r="AC13" s="5"/>
      <c r="AD13" s="5"/>
      <c r="AE13" s="5"/>
      <c r="AF13" s="5"/>
      <c r="AG13" s="5"/>
      <c r="AH13" s="5"/>
      <c r="AI13" s="5"/>
      <c r="AJ13" s="5"/>
      <c r="AK13" s="5"/>
      <c r="AL13" s="5"/>
      <c r="AM13" s="5"/>
      <c r="AN13" s="5"/>
      <c r="AO13" s="5"/>
      <c r="AP13" s="5"/>
      <c r="AQ13" s="5"/>
      <c r="BZ13" s="5"/>
      <c r="CA13" s="5"/>
      <c r="CB13" s="5"/>
      <c r="CC13" s="5"/>
      <c r="CD13" s="5"/>
      <c r="CE13" s="5"/>
    </row>
    <row r="14" spans="1:83" ht="15" customHeight="1" x14ac:dyDescent="0.2">
      <c r="I14" s="149" t="s">
        <v>640</v>
      </c>
      <c r="J14" s="150"/>
      <c r="K14" s="151"/>
      <c r="L14" s="68">
        <f>SUM(L4:L13)</f>
        <v>61622643.640000001</v>
      </c>
      <c r="M14" s="68">
        <f t="shared" ref="M14:U14" si="1">SUM(M4:M13)</f>
        <v>703807</v>
      </c>
      <c r="N14" s="68">
        <f t="shared" si="1"/>
        <v>4738065</v>
      </c>
      <c r="O14" s="68">
        <f t="shared" si="1"/>
        <v>3453919</v>
      </c>
      <c r="P14" s="68">
        <f t="shared" si="1"/>
        <v>2500000</v>
      </c>
      <c r="Q14" s="68">
        <f t="shared" si="1"/>
        <v>4081690</v>
      </c>
      <c r="R14" s="68">
        <f t="shared" si="1"/>
        <v>101782894.00999999</v>
      </c>
      <c r="S14" s="68">
        <f t="shared" si="1"/>
        <v>383024</v>
      </c>
      <c r="T14" s="68">
        <f t="shared" si="1"/>
        <v>4227228</v>
      </c>
      <c r="U14" s="68">
        <f t="shared" si="1"/>
        <v>183493270.65000001</v>
      </c>
      <c r="V14" s="65">
        <f>SUM(V4:V13)</f>
        <v>93535878.265000001</v>
      </c>
      <c r="W14" s="5" t="s">
        <v>646</v>
      </c>
      <c r="AC14" s="17"/>
      <c r="AD14" s="128"/>
      <c r="AE14" s="128"/>
      <c r="AF14" s="128"/>
      <c r="AG14" s="59"/>
      <c r="AH14" s="59"/>
      <c r="AI14" s="59"/>
      <c r="AJ14" s="59"/>
      <c r="AK14" s="59"/>
      <c r="AL14" s="59"/>
      <c r="AM14" s="59"/>
      <c r="AN14" s="59"/>
      <c r="AO14" s="59"/>
      <c r="AP14" s="60"/>
      <c r="AQ14" s="59"/>
      <c r="AR14" s="12"/>
      <c r="BZ14" s="5"/>
      <c r="CA14" s="5"/>
      <c r="CB14" s="5"/>
      <c r="CC14" s="5"/>
      <c r="CD14" s="5"/>
      <c r="CE14" s="5"/>
    </row>
    <row r="15" spans="1:83" ht="15.75" x14ac:dyDescent="0.25">
      <c r="V15" s="46"/>
      <c r="W15" s="46"/>
      <c r="X15" s="46"/>
      <c r="Y15" s="46"/>
      <c r="AC15" s="17"/>
      <c r="AD15" s="15"/>
      <c r="AE15" s="15"/>
      <c r="AF15" s="15"/>
      <c r="AG15" s="16"/>
      <c r="AH15" s="16"/>
      <c r="AI15" s="16"/>
      <c r="AJ15" s="16"/>
      <c r="AK15" s="26"/>
      <c r="AL15" s="26"/>
      <c r="AM15" s="16"/>
      <c r="AN15" s="16"/>
      <c r="AO15" s="16"/>
      <c r="AP15" s="16"/>
      <c r="AQ15" s="16"/>
      <c r="AR15" s="13"/>
      <c r="BZ15" s="5"/>
      <c r="CA15" s="5"/>
      <c r="CB15" s="5"/>
      <c r="CC15" s="5"/>
      <c r="CD15" s="5"/>
      <c r="CE15" s="5"/>
    </row>
    <row r="16" spans="1:83" ht="15.75" x14ac:dyDescent="0.25">
      <c r="A16" s="144" t="s">
        <v>616</v>
      </c>
      <c r="B16" s="144"/>
      <c r="C16" s="144"/>
      <c r="D16" s="144"/>
      <c r="V16" s="58"/>
      <c r="W16" s="34"/>
      <c r="X16" s="34"/>
      <c r="Y16" s="34"/>
      <c r="AC16" s="35"/>
      <c r="AK16" s="26"/>
      <c r="AL16" s="26"/>
      <c r="BZ16" s="5"/>
      <c r="CA16" s="5"/>
      <c r="CB16" s="5"/>
      <c r="CC16" s="5"/>
      <c r="CD16" s="5"/>
      <c r="CE16" s="5"/>
    </row>
    <row r="18" spans="1:84" s="41" customFormat="1" ht="42" customHeight="1" x14ac:dyDescent="0.25">
      <c r="A18" s="41" t="s">
        <v>39</v>
      </c>
      <c r="B18" s="41" t="s">
        <v>40</v>
      </c>
      <c r="C18" s="41" t="s">
        <v>41</v>
      </c>
      <c r="D18" s="41" t="s">
        <v>42</v>
      </c>
      <c r="E18" s="41" t="s">
        <v>43</v>
      </c>
      <c r="F18" s="41" t="s">
        <v>44</v>
      </c>
      <c r="G18" s="41" t="s">
        <v>45</v>
      </c>
      <c r="H18" s="41" t="s">
        <v>612</v>
      </c>
      <c r="I18" s="76" t="s">
        <v>46</v>
      </c>
      <c r="J18" s="76" t="s">
        <v>47</v>
      </c>
      <c r="K18" s="76" t="s">
        <v>48</v>
      </c>
      <c r="L18" s="61" t="s">
        <v>71</v>
      </c>
      <c r="M18" s="61" t="s">
        <v>72</v>
      </c>
      <c r="N18" s="61" t="s">
        <v>0</v>
      </c>
      <c r="O18" s="61" t="s">
        <v>50</v>
      </c>
      <c r="P18" s="61" t="s">
        <v>1</v>
      </c>
      <c r="Q18" s="61" t="s">
        <v>2</v>
      </c>
      <c r="R18" s="61" t="s">
        <v>51</v>
      </c>
      <c r="S18" s="61" t="s">
        <v>52</v>
      </c>
      <c r="T18" s="61" t="s">
        <v>53</v>
      </c>
      <c r="U18" s="61" t="s">
        <v>49</v>
      </c>
      <c r="V18" s="63" t="s">
        <v>641</v>
      </c>
      <c r="W18" s="61"/>
      <c r="AA18" s="108"/>
      <c r="AE18" s="57"/>
      <c r="AF18" s="57"/>
      <c r="AG18" s="57"/>
      <c r="AH18" s="61"/>
      <c r="AI18" s="61"/>
      <c r="AJ18" s="61"/>
      <c r="AK18" s="61"/>
      <c r="AL18" s="61"/>
      <c r="AM18" s="61"/>
      <c r="AN18" s="61"/>
      <c r="AO18" s="61"/>
      <c r="AP18" s="61"/>
      <c r="AQ18" s="61"/>
      <c r="AR18" s="61"/>
      <c r="CA18" s="14"/>
      <c r="CB18" s="14"/>
      <c r="CC18" s="14"/>
      <c r="CD18" s="14"/>
      <c r="CE18" s="14"/>
      <c r="CF18" s="14"/>
    </row>
    <row r="19" spans="1:84" x14ac:dyDescent="0.25">
      <c r="A19" s="5" t="s">
        <v>73</v>
      </c>
      <c r="C19" s="5" t="s">
        <v>658</v>
      </c>
      <c r="D19" s="5" t="s">
        <v>60</v>
      </c>
      <c r="E19" s="5" t="s">
        <v>659</v>
      </c>
      <c r="F19" s="5" t="s">
        <v>660</v>
      </c>
      <c r="G19" s="5" t="s">
        <v>73</v>
      </c>
      <c r="H19" s="5" t="s">
        <v>5</v>
      </c>
      <c r="I19" s="7">
        <v>41191</v>
      </c>
      <c r="J19" s="7">
        <v>41191</v>
      </c>
      <c r="K19" s="7">
        <v>41274</v>
      </c>
      <c r="L19" s="6">
        <v>0</v>
      </c>
      <c r="U19" s="6">
        <v>0</v>
      </c>
      <c r="V19" s="6">
        <f>V14-Table_MAG_Ledger_Authorized[[#This Row],[Federal Amount]]</f>
        <v>93535878.265000001</v>
      </c>
      <c r="W19" s="6"/>
      <c r="Z19" s="5"/>
      <c r="AA19" s="109"/>
      <c r="AC19" s="18"/>
      <c r="AD19" s="11"/>
      <c r="AG19" s="7"/>
      <c r="AR19" s="6"/>
      <c r="BZ19" s="5"/>
      <c r="CF19" s="13"/>
    </row>
    <row r="20" spans="1:84" x14ac:dyDescent="0.25">
      <c r="A20" s="5" t="s">
        <v>73</v>
      </c>
      <c r="C20" s="5" t="s">
        <v>661</v>
      </c>
      <c r="D20" s="5" t="s">
        <v>60</v>
      </c>
      <c r="E20" s="5" t="s">
        <v>662</v>
      </c>
      <c r="F20" s="5" t="s">
        <v>663</v>
      </c>
      <c r="G20" s="5" t="s">
        <v>73</v>
      </c>
      <c r="H20" s="5" t="s">
        <v>4</v>
      </c>
      <c r="I20" s="7">
        <v>41242</v>
      </c>
      <c r="J20" s="7">
        <v>41246</v>
      </c>
      <c r="K20" s="7">
        <v>41248</v>
      </c>
      <c r="R20" s="6">
        <v>-114041</v>
      </c>
      <c r="U20" s="6">
        <v>-114041</v>
      </c>
      <c r="V20" s="6">
        <f>+V19-Table_MAG_Ledger_Authorized[[#This Row],[Federal Amount]]</f>
        <v>93649919.265000001</v>
      </c>
      <c r="W20" s="6"/>
      <c r="Z20" s="5"/>
      <c r="AA20" s="109"/>
      <c r="AC20" s="18"/>
      <c r="AD20" s="11"/>
      <c r="AG20" s="7"/>
      <c r="AR20" s="6"/>
      <c r="BZ20" s="5"/>
      <c r="CF20" s="13"/>
    </row>
    <row r="21" spans="1:84" ht="30" x14ac:dyDescent="0.25">
      <c r="A21" s="5" t="s">
        <v>73</v>
      </c>
      <c r="C21" s="5" t="s">
        <v>664</v>
      </c>
      <c r="D21" s="5" t="s">
        <v>60</v>
      </c>
      <c r="E21" s="5" t="s">
        <v>665</v>
      </c>
      <c r="F21" s="5" t="s">
        <v>666</v>
      </c>
      <c r="G21" s="5" t="s">
        <v>73</v>
      </c>
      <c r="H21" s="5" t="s">
        <v>5</v>
      </c>
      <c r="I21" s="7">
        <v>41443</v>
      </c>
      <c r="J21" s="7">
        <v>41443</v>
      </c>
      <c r="K21" s="7">
        <v>41444</v>
      </c>
      <c r="L21" s="6">
        <v>-44047</v>
      </c>
      <c r="U21" s="6">
        <v>-44047</v>
      </c>
      <c r="V21" s="6">
        <f>+V20-Table_MAG_Ledger_Authorized[[#This Row],[Federal Amount]]</f>
        <v>93693966.265000001</v>
      </c>
      <c r="W21" s="6"/>
      <c r="Z21" s="5"/>
      <c r="AA21" s="109"/>
      <c r="AC21" s="18"/>
      <c r="AD21" s="11"/>
      <c r="AG21" s="7"/>
      <c r="AR21" s="6"/>
      <c r="BZ21" s="5"/>
      <c r="CF21" s="13"/>
    </row>
    <row r="22" spans="1:84" ht="30" x14ac:dyDescent="0.25">
      <c r="A22" s="5" t="s">
        <v>73</v>
      </c>
      <c r="C22" s="5" t="s">
        <v>667</v>
      </c>
      <c r="D22" s="5" t="s">
        <v>60</v>
      </c>
      <c r="E22" s="5" t="s">
        <v>668</v>
      </c>
      <c r="F22" s="5" t="s">
        <v>669</v>
      </c>
      <c r="G22" s="5" t="s">
        <v>73</v>
      </c>
      <c r="H22" s="5" t="s">
        <v>4</v>
      </c>
      <c r="I22" s="7">
        <v>41292</v>
      </c>
      <c r="J22" s="7">
        <v>41296</v>
      </c>
      <c r="K22" s="7">
        <v>41299</v>
      </c>
      <c r="L22" s="6">
        <v>61295</v>
      </c>
      <c r="U22" s="6">
        <v>61295</v>
      </c>
      <c r="V22" s="6">
        <f>+V21-Table_MAG_Ledger_Authorized[[#This Row],[Federal Amount]]</f>
        <v>93632671.265000001</v>
      </c>
      <c r="W22" s="6"/>
      <c r="Z22" s="5"/>
      <c r="AA22" s="109"/>
      <c r="AC22" s="18"/>
      <c r="AD22" s="11"/>
      <c r="AG22" s="7"/>
      <c r="AR22" s="6"/>
      <c r="BZ22" s="5"/>
      <c r="CF22" s="13"/>
    </row>
    <row r="23" spans="1:84" ht="30" x14ac:dyDescent="0.25">
      <c r="A23" s="5" t="s">
        <v>73</v>
      </c>
      <c r="C23" s="5" t="s">
        <v>667</v>
      </c>
      <c r="D23" s="5" t="s">
        <v>60</v>
      </c>
      <c r="E23" s="5" t="s">
        <v>668</v>
      </c>
      <c r="F23" s="5" t="s">
        <v>669</v>
      </c>
      <c r="G23" s="5" t="s">
        <v>73</v>
      </c>
      <c r="H23" s="5" t="s">
        <v>4</v>
      </c>
      <c r="I23" s="7">
        <v>41351</v>
      </c>
      <c r="J23" s="7">
        <v>41353</v>
      </c>
      <c r="K23" s="7">
        <v>41355</v>
      </c>
      <c r="L23" s="6">
        <v>47150</v>
      </c>
      <c r="U23" s="6">
        <v>47150</v>
      </c>
      <c r="V23" s="6">
        <f>+V22-Table_MAG_Ledger_Authorized[[#This Row],[Federal Amount]]</f>
        <v>93585521.265000001</v>
      </c>
      <c r="W23" s="6"/>
      <c r="Z23" s="5"/>
      <c r="AA23" s="109"/>
      <c r="AC23" s="18"/>
      <c r="AD23" s="11"/>
      <c r="AG23" s="7"/>
      <c r="AR23" s="6"/>
      <c r="BZ23" s="5"/>
      <c r="CF23" s="13"/>
    </row>
    <row r="24" spans="1:84" ht="30" x14ac:dyDescent="0.25">
      <c r="A24" s="5" t="s">
        <v>73</v>
      </c>
      <c r="C24" s="5" t="s">
        <v>667</v>
      </c>
      <c r="D24" s="5" t="s">
        <v>670</v>
      </c>
      <c r="E24" s="5" t="s">
        <v>668</v>
      </c>
      <c r="F24" s="5" t="s">
        <v>669</v>
      </c>
      <c r="G24" s="5" t="s">
        <v>73</v>
      </c>
      <c r="H24" s="5" t="s">
        <v>4</v>
      </c>
      <c r="I24" s="7">
        <v>41292</v>
      </c>
      <c r="J24" s="7">
        <v>41296</v>
      </c>
      <c r="K24" s="7">
        <v>41299</v>
      </c>
      <c r="L24" s="6">
        <v>4996</v>
      </c>
      <c r="U24" s="6">
        <v>4996</v>
      </c>
      <c r="V24" s="6">
        <f>+V23-Table_MAG_Ledger_Authorized[[#This Row],[Federal Amount]]</f>
        <v>93580525.265000001</v>
      </c>
      <c r="W24" s="6"/>
      <c r="Z24" s="5"/>
      <c r="AA24" s="109"/>
      <c r="AC24" s="18"/>
      <c r="AD24" s="11"/>
      <c r="AG24" s="7"/>
      <c r="AR24" s="6"/>
      <c r="BZ24" s="5"/>
      <c r="CF24" s="13"/>
    </row>
    <row r="25" spans="1:84" ht="30" x14ac:dyDescent="0.25">
      <c r="A25" s="5" t="s">
        <v>73</v>
      </c>
      <c r="C25" s="5" t="s">
        <v>667</v>
      </c>
      <c r="D25" s="5" t="s">
        <v>670</v>
      </c>
      <c r="E25" s="5" t="s">
        <v>668</v>
      </c>
      <c r="F25" s="5" t="s">
        <v>669</v>
      </c>
      <c r="G25" s="5" t="s">
        <v>73</v>
      </c>
      <c r="H25" s="5" t="s">
        <v>4</v>
      </c>
      <c r="I25" s="7">
        <v>41351</v>
      </c>
      <c r="J25" s="7">
        <v>41353</v>
      </c>
      <c r="K25" s="7">
        <v>41355</v>
      </c>
      <c r="L25" s="6">
        <v>3843</v>
      </c>
      <c r="U25" s="6">
        <v>3843</v>
      </c>
      <c r="V25" s="6">
        <f>+V24-Table_MAG_Ledger_Authorized[[#This Row],[Federal Amount]]</f>
        <v>93576682.265000001</v>
      </c>
      <c r="W25" s="6"/>
      <c r="Z25" s="5"/>
      <c r="AA25" s="109"/>
      <c r="AC25" s="18"/>
      <c r="AD25" s="11"/>
      <c r="AG25" s="7"/>
      <c r="AR25" s="6"/>
      <c r="BZ25" s="5"/>
      <c r="CF25" s="13"/>
    </row>
    <row r="26" spans="1:84" ht="75" x14ac:dyDescent="0.25">
      <c r="A26" s="5" t="s">
        <v>73</v>
      </c>
      <c r="C26" s="5" t="s">
        <v>767</v>
      </c>
      <c r="D26" s="5" t="s">
        <v>768</v>
      </c>
      <c r="E26" s="5" t="s">
        <v>769</v>
      </c>
      <c r="F26" s="5" t="s">
        <v>770</v>
      </c>
      <c r="G26" s="5" t="s">
        <v>73</v>
      </c>
      <c r="H26" s="5" t="s">
        <v>5</v>
      </c>
      <c r="I26" s="7">
        <v>41512</v>
      </c>
      <c r="J26" s="7">
        <v>41512</v>
      </c>
      <c r="K26" s="7">
        <v>41513</v>
      </c>
      <c r="R26" s="6">
        <v>-72767.64</v>
      </c>
      <c r="U26" s="6">
        <v>-72767.64</v>
      </c>
      <c r="V26" s="6">
        <f>+V25-Table_MAG_Ledger_Authorized[[#This Row],[Federal Amount]]</f>
        <v>93649449.905000001</v>
      </c>
      <c r="W26" s="6"/>
      <c r="Z26" s="5"/>
      <c r="AA26" s="109"/>
      <c r="AC26" s="18"/>
      <c r="AD26" s="11"/>
      <c r="AG26" s="7"/>
      <c r="AR26" s="6"/>
      <c r="BZ26" s="5"/>
      <c r="CF26" s="13"/>
    </row>
    <row r="27" spans="1:84" ht="45" x14ac:dyDescent="0.25">
      <c r="A27" s="5" t="s">
        <v>73</v>
      </c>
      <c r="C27" s="5" t="s">
        <v>671</v>
      </c>
      <c r="D27" s="5" t="s">
        <v>60</v>
      </c>
      <c r="E27" s="5" t="s">
        <v>672</v>
      </c>
      <c r="F27" s="5" t="s">
        <v>673</v>
      </c>
      <c r="G27" s="5" t="s">
        <v>73</v>
      </c>
      <c r="H27" s="5" t="s">
        <v>5</v>
      </c>
      <c r="I27" s="7">
        <v>41324</v>
      </c>
      <c r="J27" s="7">
        <v>41324</v>
      </c>
      <c r="K27" s="7">
        <v>41362</v>
      </c>
      <c r="L27" s="6">
        <v>-17172.22</v>
      </c>
      <c r="U27" s="6">
        <v>-17172.22</v>
      </c>
      <c r="V27" s="6">
        <f>+V26-Table_MAG_Ledger_Authorized[[#This Row],[Federal Amount]]</f>
        <v>93666622.125</v>
      </c>
      <c r="W27" s="6"/>
      <c r="Z27" s="5"/>
      <c r="AA27" s="109"/>
      <c r="AC27" s="18"/>
      <c r="AD27" s="11"/>
      <c r="AG27" s="7"/>
      <c r="AR27" s="6"/>
      <c r="BZ27" s="5"/>
      <c r="CF27" s="13"/>
    </row>
    <row r="28" spans="1:84" ht="30" x14ac:dyDescent="0.25">
      <c r="A28" s="5" t="s">
        <v>73</v>
      </c>
      <c r="C28" s="5" t="s">
        <v>674</v>
      </c>
      <c r="D28" s="5" t="s">
        <v>60</v>
      </c>
      <c r="E28" s="5" t="s">
        <v>675</v>
      </c>
      <c r="F28" s="5" t="s">
        <v>676</v>
      </c>
      <c r="G28" s="5" t="s">
        <v>73</v>
      </c>
      <c r="H28" s="5" t="s">
        <v>4</v>
      </c>
      <c r="I28" s="7">
        <v>41305</v>
      </c>
      <c r="J28" s="7">
        <v>41309</v>
      </c>
      <c r="K28" s="7">
        <v>41311</v>
      </c>
      <c r="L28" s="6">
        <v>23575</v>
      </c>
      <c r="U28" s="6">
        <v>23575</v>
      </c>
      <c r="V28" s="6">
        <f>+V27-Table_MAG_Ledger_Authorized[[#This Row],[Federal Amount]]</f>
        <v>93643047.125</v>
      </c>
      <c r="W28" s="6"/>
      <c r="Z28" s="5"/>
      <c r="AA28" s="109"/>
      <c r="AC28" s="18"/>
      <c r="AD28" s="11"/>
      <c r="AG28" s="7"/>
      <c r="AR28" s="6"/>
      <c r="BZ28" s="5"/>
      <c r="CF28" s="13"/>
    </row>
    <row r="29" spans="1:84" ht="30" x14ac:dyDescent="0.25">
      <c r="A29" s="5" t="s">
        <v>73</v>
      </c>
      <c r="C29" s="5" t="s">
        <v>677</v>
      </c>
      <c r="D29" s="5" t="s">
        <v>60</v>
      </c>
      <c r="E29" s="5" t="s">
        <v>678</v>
      </c>
      <c r="F29" s="5" t="s">
        <v>679</v>
      </c>
      <c r="G29" s="5" t="s">
        <v>73</v>
      </c>
      <c r="H29" s="5" t="s">
        <v>23</v>
      </c>
      <c r="I29" s="7">
        <v>41205</v>
      </c>
      <c r="J29" s="7">
        <v>41211</v>
      </c>
      <c r="K29" s="7">
        <v>41212</v>
      </c>
      <c r="R29" s="6">
        <v>-123486</v>
      </c>
      <c r="U29" s="6">
        <v>-123486</v>
      </c>
      <c r="V29" s="6">
        <f>+V28-Table_MAG_Ledger_Authorized[[#This Row],[Federal Amount]]</f>
        <v>93766533.125</v>
      </c>
      <c r="W29" s="6"/>
      <c r="Z29" s="5"/>
      <c r="AA29" s="109"/>
      <c r="AC29" s="18"/>
      <c r="AD29" s="11"/>
      <c r="AG29" s="7"/>
      <c r="AR29" s="6"/>
      <c r="BZ29" s="5"/>
      <c r="CF29" s="13"/>
    </row>
    <row r="30" spans="1:84" ht="30" x14ac:dyDescent="0.25">
      <c r="A30" s="5" t="s">
        <v>73</v>
      </c>
      <c r="C30" s="5" t="s">
        <v>677</v>
      </c>
      <c r="D30" s="5" t="s">
        <v>60</v>
      </c>
      <c r="E30" s="5" t="s">
        <v>678</v>
      </c>
      <c r="F30" s="5" t="s">
        <v>679</v>
      </c>
      <c r="G30" s="5" t="s">
        <v>73</v>
      </c>
      <c r="H30" s="5" t="s">
        <v>23</v>
      </c>
      <c r="I30" s="7">
        <v>41205</v>
      </c>
      <c r="J30" s="7">
        <v>41211</v>
      </c>
      <c r="K30" s="7">
        <v>41218</v>
      </c>
      <c r="R30" s="6">
        <v>-3177014</v>
      </c>
      <c r="U30" s="6">
        <v>-3177014</v>
      </c>
      <c r="V30" s="6">
        <f>+V29-Table_MAG_Ledger_Authorized[[#This Row],[Federal Amount]]</f>
        <v>96943547.125</v>
      </c>
      <c r="W30" s="6"/>
      <c r="Z30" s="5"/>
      <c r="AA30" s="109"/>
      <c r="AC30" s="18"/>
      <c r="AD30" s="11"/>
      <c r="AG30" s="7"/>
      <c r="AR30" s="6"/>
      <c r="BZ30" s="5"/>
      <c r="CF30" s="13"/>
    </row>
    <row r="31" spans="1:84" ht="30" x14ac:dyDescent="0.25">
      <c r="A31" s="5" t="s">
        <v>73</v>
      </c>
      <c r="C31" s="5" t="s">
        <v>680</v>
      </c>
      <c r="D31" s="5" t="s">
        <v>60</v>
      </c>
      <c r="E31" s="5" t="s">
        <v>681</v>
      </c>
      <c r="F31" s="5" t="s">
        <v>682</v>
      </c>
      <c r="G31" s="5" t="s">
        <v>73</v>
      </c>
      <c r="H31" s="5" t="s">
        <v>23</v>
      </c>
      <c r="I31" s="7">
        <v>41193</v>
      </c>
      <c r="J31" s="7">
        <v>41197</v>
      </c>
      <c r="K31" s="7">
        <v>41212</v>
      </c>
      <c r="L31" s="6">
        <v>-707977</v>
      </c>
      <c r="U31" s="6">
        <v>-707977</v>
      </c>
      <c r="V31" s="6">
        <f>+V30-Table_MAG_Ledger_Authorized[[#This Row],[Federal Amount]]</f>
        <v>97651524.125</v>
      </c>
      <c r="W31" s="6"/>
      <c r="Z31" s="5"/>
      <c r="AA31" s="109"/>
      <c r="AC31" s="18"/>
      <c r="AD31" s="11"/>
      <c r="AG31" s="7"/>
      <c r="AR31" s="6"/>
      <c r="BZ31" s="5"/>
      <c r="CF31" s="13"/>
    </row>
    <row r="32" spans="1:84" ht="30" x14ac:dyDescent="0.25">
      <c r="A32" s="5" t="s">
        <v>73</v>
      </c>
      <c r="C32" s="5" t="s">
        <v>683</v>
      </c>
      <c r="D32" s="5" t="s">
        <v>60</v>
      </c>
      <c r="E32" s="5" t="s">
        <v>684</v>
      </c>
      <c r="F32" s="5" t="s">
        <v>685</v>
      </c>
      <c r="G32" s="5" t="s">
        <v>73</v>
      </c>
      <c r="H32" s="5" t="s">
        <v>23</v>
      </c>
      <c r="I32" s="7">
        <v>41199</v>
      </c>
      <c r="J32" s="7">
        <v>41204</v>
      </c>
      <c r="K32" s="7">
        <v>41218</v>
      </c>
      <c r="L32" s="6">
        <v>0</v>
      </c>
      <c r="U32" s="6">
        <v>0</v>
      </c>
      <c r="V32" s="6">
        <f>+V31-Table_MAG_Ledger_Authorized[[#This Row],[Federal Amount]]</f>
        <v>97651524.125</v>
      </c>
      <c r="W32" s="6"/>
      <c r="Z32" s="5"/>
      <c r="AA32" s="109"/>
      <c r="AC32" s="18"/>
      <c r="AD32" s="11"/>
      <c r="AG32" s="7"/>
      <c r="AR32" s="6"/>
      <c r="BZ32" s="5"/>
      <c r="CF32" s="13"/>
    </row>
    <row r="33" spans="1:84" ht="30" x14ac:dyDescent="0.25">
      <c r="A33" s="5" t="s">
        <v>73</v>
      </c>
      <c r="C33" s="5" t="s">
        <v>686</v>
      </c>
      <c r="D33" s="5" t="s">
        <v>60</v>
      </c>
      <c r="E33" s="5" t="s">
        <v>687</v>
      </c>
      <c r="F33" s="5" t="s">
        <v>688</v>
      </c>
      <c r="G33" s="5" t="s">
        <v>73</v>
      </c>
      <c r="H33" s="5" t="s">
        <v>3</v>
      </c>
      <c r="I33" s="7">
        <v>41429</v>
      </c>
      <c r="J33" s="7">
        <v>41430</v>
      </c>
      <c r="K33" s="7">
        <v>41436</v>
      </c>
      <c r="L33" s="6">
        <v>7261100</v>
      </c>
      <c r="U33" s="6">
        <v>7261100</v>
      </c>
      <c r="V33" s="6">
        <f>+V32-Table_MAG_Ledger_Authorized[[#This Row],[Federal Amount]]</f>
        <v>90390424.125</v>
      </c>
      <c r="W33" s="6"/>
      <c r="Z33" s="5"/>
      <c r="AA33" s="109"/>
      <c r="AC33" s="18"/>
      <c r="AD33" s="11"/>
      <c r="AG33" s="7"/>
      <c r="AR33" s="6"/>
      <c r="BZ33" s="5"/>
      <c r="CF33" s="13"/>
    </row>
    <row r="34" spans="1:84" x14ac:dyDescent="0.25">
      <c r="A34" s="5" t="s">
        <v>73</v>
      </c>
      <c r="C34" s="5" t="s">
        <v>686</v>
      </c>
      <c r="D34" s="5" t="s">
        <v>689</v>
      </c>
      <c r="E34" s="5" t="s">
        <v>687</v>
      </c>
      <c r="F34" s="5" t="s">
        <v>690</v>
      </c>
      <c r="G34" s="5" t="s">
        <v>73</v>
      </c>
      <c r="H34" s="5" t="s">
        <v>4</v>
      </c>
      <c r="I34" s="7">
        <v>41201</v>
      </c>
      <c r="J34" s="7">
        <v>41212</v>
      </c>
      <c r="K34" s="7">
        <v>41214</v>
      </c>
      <c r="L34" s="6">
        <v>0</v>
      </c>
      <c r="U34" s="6">
        <v>0</v>
      </c>
      <c r="V34" s="6">
        <f>+V33-Table_MAG_Ledger_Authorized[[#This Row],[Federal Amount]]</f>
        <v>90390424.125</v>
      </c>
      <c r="W34" s="6"/>
      <c r="Z34" s="5"/>
      <c r="AA34" s="109"/>
      <c r="AC34" s="18"/>
      <c r="AD34" s="11"/>
      <c r="AG34" s="7"/>
      <c r="AR34" s="6"/>
      <c r="BZ34" s="5"/>
      <c r="CF34" s="13"/>
    </row>
    <row r="35" spans="1:84" ht="30" x14ac:dyDescent="0.25">
      <c r="A35" s="5" t="s">
        <v>73</v>
      </c>
      <c r="C35" s="5" t="s">
        <v>789</v>
      </c>
      <c r="D35" s="5" t="s">
        <v>689</v>
      </c>
      <c r="E35" s="5" t="s">
        <v>790</v>
      </c>
      <c r="F35" s="5" t="s">
        <v>791</v>
      </c>
      <c r="G35" s="5" t="s">
        <v>110</v>
      </c>
      <c r="H35" s="5" t="s">
        <v>4</v>
      </c>
      <c r="I35" s="7">
        <v>41515</v>
      </c>
      <c r="J35" s="7">
        <v>41530</v>
      </c>
      <c r="K35" s="7">
        <v>41533</v>
      </c>
      <c r="T35" s="6">
        <v>196749</v>
      </c>
      <c r="U35" s="6">
        <v>196749</v>
      </c>
      <c r="V35" s="6">
        <f>+V34-Table_MAG_Ledger_Authorized[[#This Row],[Federal Amount]]</f>
        <v>90193675.125</v>
      </c>
      <c r="W35" s="6"/>
      <c r="Z35" s="5"/>
      <c r="AA35" s="109"/>
      <c r="AC35" s="18"/>
      <c r="AD35" s="11"/>
      <c r="AG35" s="7"/>
      <c r="AR35" s="6"/>
      <c r="BZ35" s="5"/>
      <c r="CF35" s="13"/>
    </row>
    <row r="36" spans="1:84" x14ac:dyDescent="0.25">
      <c r="A36" s="5" t="s">
        <v>73</v>
      </c>
      <c r="C36" s="5" t="s">
        <v>74</v>
      </c>
      <c r="D36" s="5" t="s">
        <v>54</v>
      </c>
      <c r="E36" s="5" t="s">
        <v>75</v>
      </c>
      <c r="F36" s="5" t="s">
        <v>76</v>
      </c>
      <c r="G36" s="5" t="s">
        <v>73</v>
      </c>
      <c r="H36" s="5" t="s">
        <v>5</v>
      </c>
      <c r="I36" s="7">
        <v>41191</v>
      </c>
      <c r="J36" s="7">
        <v>41191</v>
      </c>
      <c r="K36" s="7">
        <v>41205</v>
      </c>
      <c r="O36" s="6">
        <v>0</v>
      </c>
      <c r="U36" s="6">
        <v>0</v>
      </c>
      <c r="V36" s="6">
        <f>+V35-Table_MAG_Ledger_Authorized[[#This Row],[Federal Amount]]</f>
        <v>90193675.125</v>
      </c>
      <c r="W36" s="6"/>
      <c r="Z36" s="5"/>
      <c r="AA36" s="109"/>
      <c r="AC36" s="18"/>
      <c r="AD36" s="11"/>
      <c r="AG36" s="7"/>
      <c r="AR36" s="6"/>
      <c r="BZ36" s="5"/>
      <c r="CF36" s="13"/>
    </row>
    <row r="37" spans="1:84" x14ac:dyDescent="0.25">
      <c r="A37" s="5" t="s">
        <v>73</v>
      </c>
      <c r="C37" s="5" t="s">
        <v>74</v>
      </c>
      <c r="D37" s="5" t="s">
        <v>77</v>
      </c>
      <c r="E37" s="5" t="s">
        <v>78</v>
      </c>
      <c r="F37" s="5" t="s">
        <v>79</v>
      </c>
      <c r="G37" s="5" t="s">
        <v>73</v>
      </c>
      <c r="H37" s="5" t="s">
        <v>5</v>
      </c>
      <c r="I37" s="7">
        <v>41191</v>
      </c>
      <c r="J37" s="7">
        <v>41191</v>
      </c>
      <c r="K37" s="7">
        <v>41205</v>
      </c>
      <c r="O37" s="6">
        <v>0</v>
      </c>
      <c r="U37" s="6">
        <v>0</v>
      </c>
      <c r="V37" s="6">
        <f>+V36-Table_MAG_Ledger_Authorized[[#This Row],[Federal Amount]]</f>
        <v>90193675.125</v>
      </c>
      <c r="W37" s="6"/>
      <c r="Z37" s="5"/>
      <c r="AA37" s="109"/>
      <c r="AC37" s="18"/>
      <c r="AD37" s="11"/>
      <c r="AG37" s="7"/>
      <c r="AR37" s="6"/>
      <c r="BZ37" s="5"/>
      <c r="CF37" s="13"/>
    </row>
    <row r="38" spans="1:84" x14ac:dyDescent="0.25">
      <c r="A38" s="5" t="s">
        <v>73</v>
      </c>
      <c r="C38" s="5" t="s">
        <v>74</v>
      </c>
      <c r="D38" s="5" t="s">
        <v>55</v>
      </c>
      <c r="E38" s="5" t="s">
        <v>80</v>
      </c>
      <c r="F38" s="5" t="s">
        <v>81</v>
      </c>
      <c r="G38" s="5" t="s">
        <v>73</v>
      </c>
      <c r="H38" s="5" t="s">
        <v>5</v>
      </c>
      <c r="I38" s="7">
        <v>41324</v>
      </c>
      <c r="J38" s="7">
        <v>41324</v>
      </c>
      <c r="K38" s="7">
        <v>41346</v>
      </c>
      <c r="O38" s="6">
        <v>0</v>
      </c>
      <c r="U38" s="6">
        <v>0</v>
      </c>
      <c r="V38" s="6">
        <f>+V37-Table_MAG_Ledger_Authorized[[#This Row],[Federal Amount]]</f>
        <v>90193675.125</v>
      </c>
      <c r="W38" s="6"/>
      <c r="Z38" s="5"/>
      <c r="AA38" s="109"/>
      <c r="AC38" s="18"/>
      <c r="AD38" s="11"/>
      <c r="AG38" s="7"/>
      <c r="AR38" s="6"/>
      <c r="BZ38" s="5"/>
      <c r="CF38" s="13"/>
    </row>
    <row r="39" spans="1:84" ht="30" x14ac:dyDescent="0.25">
      <c r="A39" s="5" t="s">
        <v>73</v>
      </c>
      <c r="C39" s="5" t="s">
        <v>74</v>
      </c>
      <c r="D39" s="5" t="s">
        <v>56</v>
      </c>
      <c r="E39" s="5" t="s">
        <v>82</v>
      </c>
      <c r="F39" s="5" t="s">
        <v>792</v>
      </c>
      <c r="G39" s="5" t="s">
        <v>73</v>
      </c>
      <c r="H39" s="5" t="s">
        <v>4</v>
      </c>
      <c r="I39" s="7">
        <v>41533</v>
      </c>
      <c r="J39" s="7">
        <v>41533</v>
      </c>
      <c r="K39" s="7">
        <v>41535</v>
      </c>
      <c r="O39" s="6">
        <v>-1327687.0900000001</v>
      </c>
      <c r="U39" s="6">
        <v>-1327687.0900000001</v>
      </c>
      <c r="V39" s="6">
        <f>+V38-Table_MAG_Ledger_Authorized[[#This Row],[Federal Amount]]</f>
        <v>91521362.215000004</v>
      </c>
      <c r="W39" s="6"/>
      <c r="Z39" s="5"/>
      <c r="AA39" s="109"/>
      <c r="AC39" s="18"/>
      <c r="AD39" s="11"/>
      <c r="AG39" s="7"/>
      <c r="AR39" s="6"/>
      <c r="BZ39" s="5"/>
      <c r="CF39" s="13"/>
    </row>
    <row r="40" spans="1:84" ht="30" x14ac:dyDescent="0.25">
      <c r="A40" s="5" t="s">
        <v>73</v>
      </c>
      <c r="C40" s="5" t="s">
        <v>74</v>
      </c>
      <c r="D40" s="5" t="s">
        <v>56</v>
      </c>
      <c r="E40" s="5" t="s">
        <v>82</v>
      </c>
      <c r="F40" s="5" t="s">
        <v>83</v>
      </c>
      <c r="G40" s="5" t="s">
        <v>73</v>
      </c>
      <c r="H40" s="5" t="s">
        <v>3</v>
      </c>
      <c r="I40" s="7">
        <v>41278</v>
      </c>
      <c r="J40" s="7">
        <v>41282</v>
      </c>
      <c r="K40" s="7">
        <v>41290</v>
      </c>
      <c r="O40" s="6">
        <v>3453919</v>
      </c>
      <c r="U40" s="6">
        <v>3453919</v>
      </c>
      <c r="V40" s="6">
        <f>+V39-Table_MAG_Ledger_Authorized[[#This Row],[Federal Amount]]</f>
        <v>88067443.215000004</v>
      </c>
      <c r="W40" s="6"/>
      <c r="Z40" s="5"/>
      <c r="AA40" s="109"/>
      <c r="AC40" s="18"/>
      <c r="AD40" s="11"/>
      <c r="AG40" s="7"/>
      <c r="AR40" s="6"/>
      <c r="BZ40" s="5"/>
      <c r="CF40" s="13"/>
    </row>
    <row r="41" spans="1:84" ht="30" x14ac:dyDescent="0.25">
      <c r="A41" s="5" t="s">
        <v>73</v>
      </c>
      <c r="C41" s="5" t="s">
        <v>74</v>
      </c>
      <c r="D41" s="5" t="s">
        <v>617</v>
      </c>
      <c r="E41" s="5" t="s">
        <v>793</v>
      </c>
      <c r="F41" s="5" t="s">
        <v>794</v>
      </c>
      <c r="G41" s="5" t="s">
        <v>73</v>
      </c>
      <c r="H41" s="5" t="s">
        <v>3</v>
      </c>
      <c r="I41" s="7">
        <v>41533</v>
      </c>
      <c r="J41" s="7">
        <v>41533</v>
      </c>
      <c r="K41" s="7">
        <v>41535</v>
      </c>
      <c r="O41" s="6">
        <v>1327687.0900000001</v>
      </c>
      <c r="U41" s="6">
        <v>1327687.0900000001</v>
      </c>
      <c r="V41" s="6">
        <f>+V40-Table_MAG_Ledger_Authorized[[#This Row],[Federal Amount]]</f>
        <v>86739756.125</v>
      </c>
      <c r="W41" s="6"/>
      <c r="Z41" s="5"/>
      <c r="AA41" s="109"/>
      <c r="AC41" s="18"/>
      <c r="AD41" s="11"/>
      <c r="AG41" s="7"/>
      <c r="AR41" s="6"/>
      <c r="BZ41" s="5"/>
      <c r="CF41" s="13"/>
    </row>
    <row r="42" spans="1:84" x14ac:dyDescent="0.25">
      <c r="A42" s="5" t="s">
        <v>73</v>
      </c>
      <c r="C42" s="5" t="s">
        <v>84</v>
      </c>
      <c r="D42" s="5" t="s">
        <v>57</v>
      </c>
      <c r="E42" s="5" t="s">
        <v>85</v>
      </c>
      <c r="F42" s="5" t="s">
        <v>86</v>
      </c>
      <c r="G42" s="5" t="s">
        <v>73</v>
      </c>
      <c r="H42" s="5" t="s">
        <v>5</v>
      </c>
      <c r="I42" s="7">
        <v>41292</v>
      </c>
      <c r="J42" s="7">
        <v>41292</v>
      </c>
      <c r="K42" s="7">
        <v>41302</v>
      </c>
      <c r="R42" s="6">
        <v>0</v>
      </c>
      <c r="U42" s="6">
        <v>0</v>
      </c>
      <c r="V42" s="6">
        <f>+V41-Table_MAG_Ledger_Authorized[[#This Row],[Federal Amount]]</f>
        <v>86739756.125</v>
      </c>
      <c r="W42" s="6"/>
      <c r="Z42" s="5"/>
      <c r="AA42" s="109"/>
      <c r="AC42" s="18"/>
      <c r="AD42" s="11"/>
      <c r="AG42" s="7"/>
      <c r="AR42" s="6"/>
      <c r="BZ42" s="5"/>
      <c r="CF42" s="13"/>
    </row>
    <row r="43" spans="1:84" ht="30" x14ac:dyDescent="0.25">
      <c r="A43" s="5" t="s">
        <v>73</v>
      </c>
      <c r="C43" s="5" t="s">
        <v>84</v>
      </c>
      <c r="D43" s="5" t="s">
        <v>58</v>
      </c>
      <c r="E43" s="5" t="s">
        <v>87</v>
      </c>
      <c r="F43" s="5" t="s">
        <v>88</v>
      </c>
      <c r="G43" s="5" t="s">
        <v>73</v>
      </c>
      <c r="H43" s="5" t="s">
        <v>5</v>
      </c>
      <c r="I43" s="7">
        <v>41292</v>
      </c>
      <c r="J43" s="7">
        <v>41292</v>
      </c>
      <c r="K43" s="7">
        <v>41302</v>
      </c>
      <c r="L43" s="6">
        <v>0</v>
      </c>
      <c r="U43" s="6">
        <v>0</v>
      </c>
      <c r="V43" s="6">
        <f>+V42-Table_MAG_Ledger_Authorized[[#This Row],[Federal Amount]]</f>
        <v>86739756.125</v>
      </c>
      <c r="W43" s="6"/>
      <c r="Z43" s="5"/>
      <c r="AA43" s="109"/>
      <c r="AC43" s="18"/>
      <c r="AD43" s="11"/>
      <c r="AG43" s="7"/>
      <c r="AR43" s="6"/>
      <c r="BZ43" s="5"/>
      <c r="CF43" s="13"/>
    </row>
    <row r="44" spans="1:84" ht="30" x14ac:dyDescent="0.25">
      <c r="A44" s="5" t="s">
        <v>73</v>
      </c>
      <c r="C44" s="5" t="s">
        <v>84</v>
      </c>
      <c r="D44" s="5" t="s">
        <v>59</v>
      </c>
      <c r="E44" s="5" t="s">
        <v>89</v>
      </c>
      <c r="F44" s="5" t="s">
        <v>90</v>
      </c>
      <c r="G44" s="5" t="s">
        <v>73</v>
      </c>
      <c r="H44" s="5" t="s">
        <v>4</v>
      </c>
      <c r="I44" s="7">
        <v>41349</v>
      </c>
      <c r="J44" s="7">
        <v>41351</v>
      </c>
      <c r="K44" s="7">
        <v>41355</v>
      </c>
      <c r="L44" s="6">
        <v>-327728</v>
      </c>
      <c r="U44" s="6">
        <v>-327728</v>
      </c>
      <c r="V44" s="6">
        <f>+V43-Table_MAG_Ledger_Authorized[[#This Row],[Federal Amount]]</f>
        <v>87067484.125</v>
      </c>
      <c r="W44" s="6"/>
      <c r="Z44" s="5"/>
      <c r="AA44" s="109"/>
      <c r="AC44" s="18"/>
      <c r="AD44" s="11"/>
      <c r="AG44" s="7"/>
      <c r="AR44" s="6"/>
      <c r="BZ44" s="5"/>
      <c r="CF44" s="13"/>
    </row>
    <row r="45" spans="1:84" ht="30" x14ac:dyDescent="0.25">
      <c r="A45" s="5" t="s">
        <v>73</v>
      </c>
      <c r="C45" s="5" t="s">
        <v>691</v>
      </c>
      <c r="D45" s="5" t="s">
        <v>58</v>
      </c>
      <c r="E45" s="5" t="s">
        <v>692</v>
      </c>
      <c r="F45" s="5" t="s">
        <v>693</v>
      </c>
      <c r="G45" s="5" t="s">
        <v>73</v>
      </c>
      <c r="H45" s="5" t="s">
        <v>5</v>
      </c>
      <c r="I45" s="7">
        <v>41466</v>
      </c>
      <c r="J45" s="7">
        <v>41466</v>
      </c>
      <c r="K45" s="7">
        <v>41488</v>
      </c>
      <c r="L45" s="6">
        <v>0</v>
      </c>
      <c r="U45" s="6">
        <v>0</v>
      </c>
      <c r="V45" s="6">
        <f>+V44-Table_MAG_Ledger_Authorized[[#This Row],[Federal Amount]]</f>
        <v>87067484.125</v>
      </c>
      <c r="W45" s="6"/>
      <c r="Z45" s="5"/>
      <c r="AA45" s="109"/>
      <c r="AC45" s="18"/>
      <c r="AD45" s="11"/>
      <c r="AG45" s="7"/>
      <c r="AR45" s="6"/>
      <c r="BZ45" s="5"/>
      <c r="CF45" s="13"/>
    </row>
    <row r="46" spans="1:84" ht="30" x14ac:dyDescent="0.25">
      <c r="A46" s="5" t="s">
        <v>73</v>
      </c>
      <c r="C46" s="5" t="s">
        <v>694</v>
      </c>
      <c r="D46" s="5" t="s">
        <v>58</v>
      </c>
      <c r="E46" s="5" t="s">
        <v>695</v>
      </c>
      <c r="F46" s="5" t="s">
        <v>696</v>
      </c>
      <c r="G46" s="5" t="s">
        <v>73</v>
      </c>
      <c r="H46" s="5" t="s">
        <v>4</v>
      </c>
      <c r="I46" s="7">
        <v>41349</v>
      </c>
      <c r="J46" s="7">
        <v>41354</v>
      </c>
      <c r="K46" s="7">
        <v>41355</v>
      </c>
      <c r="L46" s="6">
        <v>327728</v>
      </c>
      <c r="U46" s="6">
        <v>327728</v>
      </c>
      <c r="V46" s="6">
        <f>+V45-Table_MAG_Ledger_Authorized[[#This Row],[Federal Amount]]</f>
        <v>86739756.125</v>
      </c>
      <c r="W46" s="6"/>
      <c r="Z46" s="5"/>
      <c r="AA46" s="109"/>
      <c r="AC46" s="18"/>
      <c r="AD46" s="11"/>
      <c r="AG46" s="7"/>
      <c r="AR46" s="6"/>
      <c r="BZ46" s="5"/>
      <c r="CF46" s="13"/>
    </row>
    <row r="47" spans="1:84" ht="30" x14ac:dyDescent="0.25">
      <c r="A47" s="5" t="s">
        <v>73</v>
      </c>
      <c r="C47" s="5" t="s">
        <v>694</v>
      </c>
      <c r="D47" s="5" t="s">
        <v>58</v>
      </c>
      <c r="E47" s="5" t="s">
        <v>695</v>
      </c>
      <c r="F47" s="5" t="s">
        <v>696</v>
      </c>
      <c r="G47" s="5" t="s">
        <v>73</v>
      </c>
      <c r="H47" s="5" t="s">
        <v>3</v>
      </c>
      <c r="I47" s="7">
        <v>41284</v>
      </c>
      <c r="J47" s="7">
        <v>41319</v>
      </c>
      <c r="K47" s="7">
        <v>41341</v>
      </c>
      <c r="L47" s="6">
        <v>1683438</v>
      </c>
      <c r="U47" s="6">
        <v>1683438</v>
      </c>
      <c r="V47" s="6">
        <f>+V46-Table_MAG_Ledger_Authorized[[#This Row],[Federal Amount]]</f>
        <v>85056318.125</v>
      </c>
      <c r="W47" s="6"/>
      <c r="Z47" s="5"/>
      <c r="AA47" s="109"/>
      <c r="AC47" s="18"/>
      <c r="AD47" s="11"/>
      <c r="AG47" s="7"/>
      <c r="AR47" s="6"/>
      <c r="BZ47" s="5"/>
      <c r="CF47" s="13"/>
    </row>
    <row r="48" spans="1:84" ht="30" x14ac:dyDescent="0.25">
      <c r="A48" s="5" t="s">
        <v>73</v>
      </c>
      <c r="C48" s="5" t="s">
        <v>694</v>
      </c>
      <c r="D48" s="5" t="s">
        <v>59</v>
      </c>
      <c r="E48" s="5" t="s">
        <v>697</v>
      </c>
      <c r="F48" s="5" t="s">
        <v>698</v>
      </c>
      <c r="G48" s="5" t="s">
        <v>73</v>
      </c>
      <c r="H48" s="5" t="s">
        <v>4</v>
      </c>
      <c r="I48" s="7">
        <v>41495</v>
      </c>
      <c r="J48" s="7">
        <v>41498</v>
      </c>
      <c r="K48" s="7">
        <v>41500</v>
      </c>
      <c r="L48" s="6">
        <v>350000</v>
      </c>
      <c r="U48" s="6">
        <v>350000</v>
      </c>
      <c r="V48" s="6">
        <f>+V47-Table_MAG_Ledger_Authorized[[#This Row],[Federal Amount]]</f>
        <v>84706318.125</v>
      </c>
      <c r="W48" s="6"/>
      <c r="Z48" s="5"/>
      <c r="AA48" s="109"/>
      <c r="AC48" s="18"/>
      <c r="AD48" s="11"/>
      <c r="AG48" s="7"/>
      <c r="AR48" s="6"/>
      <c r="BZ48" s="5"/>
      <c r="CF48" s="13"/>
    </row>
    <row r="49" spans="1:84" ht="30" x14ac:dyDescent="0.25">
      <c r="A49" s="5" t="s">
        <v>73</v>
      </c>
      <c r="C49" s="5" t="s">
        <v>694</v>
      </c>
      <c r="D49" s="5" t="s">
        <v>59</v>
      </c>
      <c r="E49" s="5" t="s">
        <v>697</v>
      </c>
      <c r="F49" s="5" t="s">
        <v>698</v>
      </c>
      <c r="G49" s="5" t="s">
        <v>73</v>
      </c>
      <c r="H49" s="5" t="s">
        <v>3</v>
      </c>
      <c r="I49" s="7">
        <v>41316</v>
      </c>
      <c r="J49" s="7">
        <v>41319</v>
      </c>
      <c r="K49" s="7">
        <v>41331</v>
      </c>
      <c r="L49" s="6">
        <v>900000</v>
      </c>
      <c r="U49" s="6">
        <v>900000</v>
      </c>
      <c r="V49" s="6">
        <f>+V48-Table_MAG_Ledger_Authorized[[#This Row],[Federal Amount]]</f>
        <v>83806318.125</v>
      </c>
      <c r="W49" s="6"/>
      <c r="Z49" s="5"/>
      <c r="AA49" s="109"/>
      <c r="AC49" s="18"/>
      <c r="AD49" s="11"/>
      <c r="AG49" s="7"/>
      <c r="AR49" s="6"/>
      <c r="BZ49" s="5"/>
      <c r="CF49" s="13"/>
    </row>
    <row r="50" spans="1:84" x14ac:dyDescent="0.25">
      <c r="A50" s="5" t="s">
        <v>73</v>
      </c>
      <c r="C50" s="5" t="s">
        <v>91</v>
      </c>
      <c r="D50" s="5" t="s">
        <v>54</v>
      </c>
      <c r="E50" s="5" t="s">
        <v>92</v>
      </c>
      <c r="F50" s="5" t="s">
        <v>93</v>
      </c>
      <c r="G50" s="5" t="s">
        <v>73</v>
      </c>
      <c r="H50" s="5" t="s">
        <v>5</v>
      </c>
      <c r="I50" s="7">
        <v>41214</v>
      </c>
      <c r="J50" s="7">
        <v>41214</v>
      </c>
      <c r="K50" s="7">
        <v>41240</v>
      </c>
      <c r="P50" s="6">
        <v>0</v>
      </c>
      <c r="U50" s="6">
        <v>0</v>
      </c>
      <c r="V50" s="6">
        <f>+V49-Table_MAG_Ledger_Authorized[[#This Row],[Federal Amount]]</f>
        <v>83806318.125</v>
      </c>
      <c r="W50" s="6"/>
      <c r="Z50" s="5"/>
      <c r="AA50" s="109"/>
      <c r="AC50" s="18"/>
      <c r="AD50" s="11"/>
      <c r="AG50" s="7"/>
      <c r="AR50" s="6"/>
      <c r="BZ50" s="5"/>
      <c r="CF50" s="13"/>
    </row>
    <row r="51" spans="1:84" x14ac:dyDescent="0.25">
      <c r="A51" s="5" t="s">
        <v>73</v>
      </c>
      <c r="C51" s="5" t="s">
        <v>91</v>
      </c>
      <c r="D51" s="5" t="s">
        <v>77</v>
      </c>
      <c r="E51" s="5" t="s">
        <v>94</v>
      </c>
      <c r="F51" s="5" t="s">
        <v>95</v>
      </c>
      <c r="G51" s="5" t="s">
        <v>73</v>
      </c>
      <c r="H51" s="5" t="s">
        <v>5</v>
      </c>
      <c r="I51" s="7">
        <v>41214</v>
      </c>
      <c r="J51" s="7">
        <v>41214</v>
      </c>
      <c r="K51" s="7">
        <v>41262</v>
      </c>
      <c r="P51" s="6">
        <v>0</v>
      </c>
      <c r="U51" s="6">
        <v>0</v>
      </c>
      <c r="V51" s="6">
        <f>+V50-Table_MAG_Ledger_Authorized[[#This Row],[Federal Amount]]</f>
        <v>83806318.125</v>
      </c>
      <c r="W51" s="6"/>
      <c r="Z51" s="5"/>
      <c r="AA51" s="109"/>
      <c r="AC51" s="18"/>
      <c r="AD51" s="11"/>
      <c r="AG51" s="7"/>
      <c r="AR51" s="6"/>
      <c r="BZ51" s="5"/>
      <c r="CF51" s="13"/>
    </row>
    <row r="52" spans="1:84" x14ac:dyDescent="0.25">
      <c r="A52" s="5" t="s">
        <v>73</v>
      </c>
      <c r="C52" s="5" t="s">
        <v>91</v>
      </c>
      <c r="D52" s="5" t="s">
        <v>56</v>
      </c>
      <c r="E52" s="5" t="s">
        <v>96</v>
      </c>
      <c r="F52" s="5" t="s">
        <v>97</v>
      </c>
      <c r="G52" s="5" t="s">
        <v>73</v>
      </c>
      <c r="H52" s="5" t="s">
        <v>4</v>
      </c>
      <c r="I52" s="7">
        <v>41278</v>
      </c>
      <c r="J52" s="7">
        <v>41282</v>
      </c>
      <c r="K52" s="7">
        <v>41289</v>
      </c>
      <c r="P52" s="6">
        <v>500000</v>
      </c>
      <c r="U52" s="6">
        <v>500000</v>
      </c>
      <c r="V52" s="6">
        <f>+V51-Table_MAG_Ledger_Authorized[[#This Row],[Federal Amount]]</f>
        <v>83306318.125</v>
      </c>
      <c r="W52" s="6"/>
      <c r="Z52" s="5"/>
      <c r="AA52" s="109"/>
      <c r="AC52" s="18"/>
      <c r="AD52" s="11"/>
      <c r="AG52" s="7"/>
      <c r="AR52" s="6"/>
      <c r="BZ52" s="5"/>
      <c r="CF52" s="13"/>
    </row>
    <row r="53" spans="1:84" x14ac:dyDescent="0.25">
      <c r="A53" s="5" t="s">
        <v>73</v>
      </c>
      <c r="C53" s="5" t="s">
        <v>91</v>
      </c>
      <c r="D53" s="5" t="s">
        <v>56</v>
      </c>
      <c r="E53" s="5" t="s">
        <v>96</v>
      </c>
      <c r="F53" s="5" t="s">
        <v>97</v>
      </c>
      <c r="G53" s="5" t="s">
        <v>73</v>
      </c>
      <c r="H53" s="5" t="s">
        <v>3</v>
      </c>
      <c r="I53" s="7">
        <v>41240</v>
      </c>
      <c r="J53" s="7">
        <v>41246</v>
      </c>
      <c r="K53" s="7">
        <v>41249</v>
      </c>
      <c r="P53" s="6">
        <v>750000</v>
      </c>
      <c r="U53" s="6">
        <v>750000</v>
      </c>
      <c r="V53" s="6">
        <f>+V52-Table_MAG_Ledger_Authorized[[#This Row],[Federal Amount]]</f>
        <v>82556318.125</v>
      </c>
      <c r="W53" s="6"/>
      <c r="Z53" s="5"/>
      <c r="AA53" s="109"/>
      <c r="AC53" s="18"/>
      <c r="AD53" s="11"/>
      <c r="AG53" s="7"/>
      <c r="AR53" s="6"/>
      <c r="BZ53" s="5"/>
      <c r="CF53" s="13"/>
    </row>
    <row r="54" spans="1:84" x14ac:dyDescent="0.25">
      <c r="A54" s="5" t="s">
        <v>73</v>
      </c>
      <c r="C54" s="5" t="s">
        <v>98</v>
      </c>
      <c r="D54" s="5" t="s">
        <v>60</v>
      </c>
      <c r="E54" s="5" t="s">
        <v>99</v>
      </c>
      <c r="F54" s="5" t="s">
        <v>100</v>
      </c>
      <c r="G54" s="5" t="s">
        <v>101</v>
      </c>
      <c r="H54" s="5" t="s">
        <v>5</v>
      </c>
      <c r="I54" s="7">
        <v>41256</v>
      </c>
      <c r="J54" s="7">
        <v>41256</v>
      </c>
      <c r="K54" s="7">
        <v>41284</v>
      </c>
      <c r="N54" s="6">
        <v>0</v>
      </c>
      <c r="U54" s="6">
        <v>0</v>
      </c>
      <c r="V54" s="6">
        <f>+V53-Table_MAG_Ledger_Authorized[[#This Row],[Federal Amount]]</f>
        <v>82556318.125</v>
      </c>
      <c r="W54" s="6"/>
      <c r="Z54" s="5"/>
      <c r="AA54" s="109"/>
      <c r="AC54" s="18"/>
      <c r="AD54" s="11"/>
      <c r="AG54" s="7"/>
      <c r="AR54" s="6"/>
      <c r="BZ54" s="5"/>
      <c r="CF54" s="13"/>
    </row>
    <row r="55" spans="1:84" x14ac:dyDescent="0.25">
      <c r="A55" s="5" t="s">
        <v>73</v>
      </c>
      <c r="C55" s="5" t="s">
        <v>98</v>
      </c>
      <c r="D55" s="5" t="s">
        <v>60</v>
      </c>
      <c r="E55" s="5" t="s">
        <v>102</v>
      </c>
      <c r="F55" s="5" t="s">
        <v>100</v>
      </c>
      <c r="G55" s="5" t="s">
        <v>103</v>
      </c>
      <c r="H55" s="5" t="s">
        <v>5</v>
      </c>
      <c r="I55" s="7">
        <v>41256</v>
      </c>
      <c r="J55" s="7">
        <v>41256</v>
      </c>
      <c r="K55" s="7">
        <v>41284</v>
      </c>
      <c r="L55" s="6">
        <v>0</v>
      </c>
      <c r="U55" s="6">
        <v>0</v>
      </c>
      <c r="V55" s="6">
        <f>+V54-Table_MAG_Ledger_Authorized[[#This Row],[Federal Amount]]</f>
        <v>82556318.125</v>
      </c>
      <c r="W55" s="6"/>
      <c r="Z55" s="5"/>
      <c r="AA55" s="109"/>
      <c r="AC55" s="18"/>
      <c r="AD55" s="11"/>
      <c r="AG55" s="7"/>
      <c r="AR55" s="6"/>
      <c r="BZ55" s="5"/>
      <c r="CF55" s="13"/>
    </row>
    <row r="56" spans="1:84" ht="30" x14ac:dyDescent="0.25">
      <c r="A56" s="5" t="s">
        <v>73</v>
      </c>
      <c r="C56" s="5" t="s">
        <v>104</v>
      </c>
      <c r="D56" s="5" t="s">
        <v>60</v>
      </c>
      <c r="E56" s="5" t="s">
        <v>105</v>
      </c>
      <c r="F56" s="5" t="s">
        <v>106</v>
      </c>
      <c r="G56" s="5" t="s">
        <v>101</v>
      </c>
      <c r="H56" s="5" t="s">
        <v>4</v>
      </c>
      <c r="I56" s="7">
        <v>41313</v>
      </c>
      <c r="J56" s="7">
        <v>41316</v>
      </c>
      <c r="K56" s="7">
        <v>41317</v>
      </c>
      <c r="L56" s="6">
        <v>0</v>
      </c>
      <c r="U56" s="6">
        <v>0</v>
      </c>
      <c r="V56" s="6">
        <f>+V55-Table_MAG_Ledger_Authorized[[#This Row],[Federal Amount]]</f>
        <v>82556318.125</v>
      </c>
      <c r="W56" s="6"/>
      <c r="Z56" s="5"/>
      <c r="AA56" s="109"/>
      <c r="AC56" s="18"/>
      <c r="AD56" s="11"/>
      <c r="AG56" s="7"/>
      <c r="AR56" s="6"/>
      <c r="BZ56" s="5"/>
      <c r="CF56" s="13"/>
    </row>
    <row r="57" spans="1:84" x14ac:dyDescent="0.25">
      <c r="A57" s="5" t="s">
        <v>73</v>
      </c>
      <c r="C57" s="5" t="s">
        <v>771</v>
      </c>
      <c r="D57" s="5" t="s">
        <v>60</v>
      </c>
      <c r="E57" s="5" t="s">
        <v>772</v>
      </c>
      <c r="F57" s="5" t="s">
        <v>773</v>
      </c>
      <c r="G57" s="5" t="s">
        <v>103</v>
      </c>
      <c r="H57" s="5" t="s">
        <v>5</v>
      </c>
      <c r="I57" s="7">
        <v>41504</v>
      </c>
      <c r="J57" s="7">
        <v>41504</v>
      </c>
      <c r="K57" s="7">
        <v>41513</v>
      </c>
      <c r="N57" s="6">
        <v>-271516.92</v>
      </c>
      <c r="U57" s="6">
        <v>-271516.92</v>
      </c>
      <c r="V57" s="6">
        <f>+V56-Table_MAG_Ledger_Authorized[[#This Row],[Federal Amount]]</f>
        <v>82827835.045000002</v>
      </c>
      <c r="W57" s="6"/>
      <c r="Z57" s="5"/>
      <c r="AA57" s="109"/>
      <c r="AC57" s="18"/>
      <c r="AD57" s="11"/>
      <c r="AG57" s="7"/>
      <c r="AR57" s="6"/>
      <c r="BZ57" s="5"/>
      <c r="CF57" s="13"/>
    </row>
    <row r="58" spans="1:84" ht="30" x14ac:dyDescent="0.25">
      <c r="A58" s="5" t="s">
        <v>73</v>
      </c>
      <c r="C58" s="5" t="s">
        <v>107</v>
      </c>
      <c r="D58" s="5" t="s">
        <v>60</v>
      </c>
      <c r="E58" s="5" t="s">
        <v>108</v>
      </c>
      <c r="F58" s="5" t="s">
        <v>109</v>
      </c>
      <c r="G58" s="5" t="s">
        <v>110</v>
      </c>
      <c r="H58" s="5" t="s">
        <v>23</v>
      </c>
      <c r="I58" s="7">
        <v>41270</v>
      </c>
      <c r="J58" s="7">
        <v>41277</v>
      </c>
      <c r="K58" s="7">
        <v>41281</v>
      </c>
      <c r="N58" s="6">
        <v>-42527</v>
      </c>
      <c r="U58" s="6">
        <v>-42527</v>
      </c>
      <c r="V58" s="6">
        <f>+V57-Table_MAG_Ledger_Authorized[[#This Row],[Federal Amount]]</f>
        <v>82870362.045000002</v>
      </c>
      <c r="W58" s="6"/>
      <c r="Z58" s="5"/>
      <c r="AA58" s="109"/>
      <c r="AC58" s="18"/>
      <c r="AD58" s="11"/>
      <c r="AG58" s="7"/>
      <c r="AR58" s="6"/>
      <c r="BZ58" s="5"/>
      <c r="CF58" s="13"/>
    </row>
    <row r="59" spans="1:84" ht="30" x14ac:dyDescent="0.25">
      <c r="A59" s="5" t="s">
        <v>73</v>
      </c>
      <c r="C59" s="5" t="s">
        <v>111</v>
      </c>
      <c r="D59" s="5" t="s">
        <v>60</v>
      </c>
      <c r="E59" s="5" t="s">
        <v>112</v>
      </c>
      <c r="F59" s="5" t="s">
        <v>113</v>
      </c>
      <c r="G59" s="5" t="s">
        <v>114</v>
      </c>
      <c r="H59" s="5" t="s">
        <v>23</v>
      </c>
      <c r="I59" s="7">
        <v>41193</v>
      </c>
      <c r="J59" s="7">
        <v>41197</v>
      </c>
      <c r="K59" s="7">
        <v>41212</v>
      </c>
      <c r="N59" s="6">
        <v>-21360</v>
      </c>
      <c r="U59" s="6">
        <v>-21360</v>
      </c>
      <c r="V59" s="6">
        <f>+V58-Table_MAG_Ledger_Authorized[[#This Row],[Federal Amount]]</f>
        <v>82891722.045000002</v>
      </c>
      <c r="W59" s="6"/>
      <c r="Z59" s="5"/>
      <c r="AA59" s="109"/>
      <c r="AC59" s="18"/>
      <c r="AD59" s="11"/>
      <c r="AG59" s="7"/>
      <c r="AR59" s="6"/>
      <c r="BZ59" s="5"/>
      <c r="CF59" s="13"/>
    </row>
    <row r="60" spans="1:84" ht="30" x14ac:dyDescent="0.25">
      <c r="A60" s="5" t="s">
        <v>73</v>
      </c>
      <c r="C60" s="5" t="s">
        <v>115</v>
      </c>
      <c r="D60" s="5" t="s">
        <v>60</v>
      </c>
      <c r="E60" s="5" t="s">
        <v>116</v>
      </c>
      <c r="F60" s="5" t="s">
        <v>117</v>
      </c>
      <c r="G60" s="5" t="s">
        <v>103</v>
      </c>
      <c r="H60" s="5" t="s">
        <v>23</v>
      </c>
      <c r="I60" s="7">
        <v>41193</v>
      </c>
      <c r="J60" s="7">
        <v>41197</v>
      </c>
      <c r="K60" s="7">
        <v>41212</v>
      </c>
      <c r="N60" s="6">
        <v>-167422</v>
      </c>
      <c r="U60" s="6">
        <v>-167422</v>
      </c>
      <c r="V60" s="6">
        <f>+V59-Table_MAG_Ledger_Authorized[[#This Row],[Federal Amount]]</f>
        <v>83059144.045000002</v>
      </c>
      <c r="W60" s="6"/>
      <c r="Z60" s="5"/>
      <c r="AA60" s="109"/>
      <c r="AC60" s="18"/>
      <c r="AD60" s="11"/>
      <c r="AG60" s="7"/>
      <c r="AR60" s="6"/>
      <c r="BZ60" s="5"/>
      <c r="CF60" s="13"/>
    </row>
    <row r="61" spans="1:84" ht="30" x14ac:dyDescent="0.25">
      <c r="A61" s="5" t="s">
        <v>73</v>
      </c>
      <c r="C61" s="5" t="s">
        <v>327</v>
      </c>
      <c r="D61" s="5" t="s">
        <v>60</v>
      </c>
      <c r="E61" s="5" t="s">
        <v>328</v>
      </c>
      <c r="F61" s="5" t="s">
        <v>329</v>
      </c>
      <c r="G61" s="5" t="s">
        <v>148</v>
      </c>
      <c r="H61" s="5" t="s">
        <v>5</v>
      </c>
      <c r="I61" s="7">
        <v>41375</v>
      </c>
      <c r="J61" s="7">
        <v>41375</v>
      </c>
      <c r="K61" s="7">
        <v>41410</v>
      </c>
      <c r="N61" s="6">
        <v>-11572.12</v>
      </c>
      <c r="U61" s="6">
        <v>-11572.12</v>
      </c>
      <c r="V61" s="6">
        <f>+V60-Table_MAG_Ledger_Authorized[[#This Row],[Federal Amount]]</f>
        <v>83070716.165000007</v>
      </c>
      <c r="W61" s="6"/>
      <c r="Z61" s="5"/>
      <c r="AA61" s="109"/>
      <c r="AC61" s="18"/>
      <c r="AD61" s="11"/>
      <c r="AG61" s="7"/>
      <c r="AR61" s="6"/>
      <c r="BZ61" s="5"/>
      <c r="CF61" s="13"/>
    </row>
    <row r="62" spans="1:84" ht="30" x14ac:dyDescent="0.25">
      <c r="A62" s="5" t="s">
        <v>73</v>
      </c>
      <c r="C62" s="5" t="s">
        <v>118</v>
      </c>
      <c r="D62" s="5" t="s">
        <v>60</v>
      </c>
      <c r="E62" s="5" t="s">
        <v>119</v>
      </c>
      <c r="F62" s="5" t="s">
        <v>120</v>
      </c>
      <c r="G62" s="5" t="s">
        <v>121</v>
      </c>
      <c r="H62" s="5" t="s">
        <v>23</v>
      </c>
      <c r="I62" s="7">
        <v>41277</v>
      </c>
      <c r="J62" s="7">
        <v>41289</v>
      </c>
      <c r="K62" s="7">
        <v>41303</v>
      </c>
      <c r="N62" s="6">
        <v>-44288</v>
      </c>
      <c r="U62" s="6">
        <v>-44288</v>
      </c>
      <c r="V62" s="6">
        <f>+V61-Table_MAG_Ledger_Authorized[[#This Row],[Federal Amount]]</f>
        <v>83115004.165000007</v>
      </c>
      <c r="W62" s="6"/>
      <c r="Z62" s="5"/>
      <c r="AA62" s="109"/>
      <c r="AC62" s="18"/>
      <c r="AD62" s="11"/>
      <c r="AG62" s="7"/>
      <c r="AR62" s="6"/>
      <c r="BZ62" s="5"/>
      <c r="CF62" s="13"/>
    </row>
    <row r="63" spans="1:84" ht="30" x14ac:dyDescent="0.25">
      <c r="A63" s="5" t="s">
        <v>73</v>
      </c>
      <c r="C63" s="5" t="s">
        <v>774</v>
      </c>
      <c r="D63" s="5" t="s">
        <v>775</v>
      </c>
      <c r="E63" s="5" t="s">
        <v>776</v>
      </c>
      <c r="F63" s="5" t="s">
        <v>777</v>
      </c>
      <c r="G63" s="5" t="s">
        <v>778</v>
      </c>
      <c r="H63" s="5" t="s">
        <v>3</v>
      </c>
      <c r="I63" s="7">
        <v>41509</v>
      </c>
      <c r="J63" s="7">
        <v>41522</v>
      </c>
      <c r="K63" s="7">
        <v>41534</v>
      </c>
      <c r="S63" s="6">
        <v>99421</v>
      </c>
      <c r="U63" s="6">
        <v>99421</v>
      </c>
      <c r="V63" s="6">
        <f>+V62-Table_MAG_Ledger_Authorized[[#This Row],[Federal Amount]]</f>
        <v>83015583.165000007</v>
      </c>
      <c r="W63" s="6"/>
      <c r="Z63" s="5"/>
      <c r="AA63" s="109"/>
      <c r="AC63" s="18"/>
      <c r="AD63" s="11"/>
      <c r="AG63" s="7"/>
      <c r="AR63" s="6"/>
      <c r="BZ63" s="5"/>
      <c r="CF63" s="13"/>
    </row>
    <row r="64" spans="1:84" ht="30" x14ac:dyDescent="0.25">
      <c r="A64" s="5" t="s">
        <v>73</v>
      </c>
      <c r="C64" s="5" t="s">
        <v>122</v>
      </c>
      <c r="D64" s="5" t="s">
        <v>60</v>
      </c>
      <c r="E64" s="5" t="s">
        <v>123</v>
      </c>
      <c r="F64" s="5" t="s">
        <v>124</v>
      </c>
      <c r="G64" s="5" t="s">
        <v>125</v>
      </c>
      <c r="H64" s="5" t="s">
        <v>4</v>
      </c>
      <c r="I64" s="7">
        <v>41226</v>
      </c>
      <c r="J64" s="7">
        <v>41228</v>
      </c>
      <c r="K64" s="7">
        <v>41228</v>
      </c>
      <c r="L64" s="6">
        <v>-440000</v>
      </c>
      <c r="U64" s="6">
        <v>-440000</v>
      </c>
      <c r="V64" s="6">
        <f>+V63-Table_MAG_Ledger_Authorized[[#This Row],[Federal Amount]]</f>
        <v>83455583.165000007</v>
      </c>
      <c r="W64" s="6"/>
      <c r="Z64" s="5"/>
      <c r="AA64" s="109"/>
      <c r="AC64" s="18"/>
      <c r="AD64" s="11"/>
      <c r="AG64" s="7"/>
      <c r="AR64" s="6"/>
      <c r="BZ64" s="5"/>
      <c r="CF64" s="13"/>
    </row>
    <row r="65" spans="1:84" x14ac:dyDescent="0.25">
      <c r="A65" s="5" t="s">
        <v>73</v>
      </c>
      <c r="C65" s="5" t="s">
        <v>126</v>
      </c>
      <c r="D65" s="5" t="s">
        <v>60</v>
      </c>
      <c r="E65" s="5" t="s">
        <v>127</v>
      </c>
      <c r="F65" s="5" t="s">
        <v>128</v>
      </c>
      <c r="G65" s="5" t="s">
        <v>110</v>
      </c>
      <c r="H65" s="5" t="s">
        <v>5</v>
      </c>
      <c r="I65" s="7">
        <v>41191</v>
      </c>
      <c r="J65" s="7">
        <v>41191</v>
      </c>
      <c r="K65" s="7">
        <v>41320</v>
      </c>
      <c r="L65" s="6">
        <v>0</v>
      </c>
      <c r="U65" s="6">
        <v>0</v>
      </c>
      <c r="V65" s="6">
        <f>+V64-Table_MAG_Ledger_Authorized[[#This Row],[Federal Amount]]</f>
        <v>83455583.165000007</v>
      </c>
      <c r="W65" s="6"/>
      <c r="Z65" s="5"/>
      <c r="AA65" s="109"/>
      <c r="AC65" s="18"/>
      <c r="AD65" s="11"/>
      <c r="AG65" s="7"/>
      <c r="AR65" s="6"/>
      <c r="BZ65" s="5"/>
      <c r="CF65" s="13"/>
    </row>
    <row r="66" spans="1:84" ht="30" x14ac:dyDescent="0.25">
      <c r="A66" s="5" t="s">
        <v>73</v>
      </c>
      <c r="C66" s="5" t="s">
        <v>129</v>
      </c>
      <c r="D66" s="5" t="s">
        <v>60</v>
      </c>
      <c r="E66" s="5" t="s">
        <v>130</v>
      </c>
      <c r="F66" s="5" t="s">
        <v>131</v>
      </c>
      <c r="G66" s="5" t="s">
        <v>132</v>
      </c>
      <c r="H66" s="5" t="s">
        <v>5</v>
      </c>
      <c r="I66" s="7">
        <v>41256</v>
      </c>
      <c r="J66" s="7">
        <v>41256</v>
      </c>
      <c r="K66" s="7">
        <v>41274</v>
      </c>
      <c r="L66" s="6">
        <v>0</v>
      </c>
      <c r="U66" s="6">
        <v>0</v>
      </c>
      <c r="V66" s="6">
        <f>+V65-Table_MAG_Ledger_Authorized[[#This Row],[Federal Amount]]</f>
        <v>83455583.165000007</v>
      </c>
      <c r="W66" s="6"/>
      <c r="Z66" s="5"/>
      <c r="AA66" s="109"/>
      <c r="AC66" s="18"/>
      <c r="AD66" s="11"/>
      <c r="AG66" s="7"/>
      <c r="AR66" s="6"/>
      <c r="BZ66" s="5"/>
      <c r="CF66" s="13"/>
    </row>
    <row r="67" spans="1:84" ht="45" x14ac:dyDescent="0.25">
      <c r="A67" s="5" t="s">
        <v>73</v>
      </c>
      <c r="C67" s="5" t="s">
        <v>133</v>
      </c>
      <c r="D67" s="5" t="s">
        <v>62</v>
      </c>
      <c r="E67" s="5" t="s">
        <v>134</v>
      </c>
      <c r="F67" s="5" t="s">
        <v>135</v>
      </c>
      <c r="G67" s="5" t="s">
        <v>136</v>
      </c>
      <c r="H67" s="5" t="s">
        <v>27</v>
      </c>
      <c r="I67" s="7">
        <v>41395</v>
      </c>
      <c r="J67" s="7">
        <v>41395</v>
      </c>
      <c r="K67" s="7">
        <v>41396</v>
      </c>
      <c r="L67" s="6">
        <v>-100000</v>
      </c>
      <c r="U67" s="6">
        <v>-100000</v>
      </c>
      <c r="V67" s="6">
        <f>+V66-Table_MAG_Ledger_Authorized[[#This Row],[Federal Amount]]</f>
        <v>83555583.165000007</v>
      </c>
      <c r="W67" s="6"/>
      <c r="Z67" s="5"/>
      <c r="AA67" s="109"/>
      <c r="AC67" s="18"/>
      <c r="AD67" s="11"/>
      <c r="AG67" s="7"/>
      <c r="AR67" s="6"/>
      <c r="BZ67" s="5"/>
      <c r="CF67" s="13"/>
    </row>
    <row r="68" spans="1:84" ht="30" x14ac:dyDescent="0.25">
      <c r="A68" s="5" t="s">
        <v>73</v>
      </c>
      <c r="C68" s="5" t="s">
        <v>137</v>
      </c>
      <c r="D68" s="5" t="s">
        <v>60</v>
      </c>
      <c r="E68" s="5" t="s">
        <v>138</v>
      </c>
      <c r="F68" s="5" t="s">
        <v>139</v>
      </c>
      <c r="G68" s="5" t="s">
        <v>103</v>
      </c>
      <c r="H68" s="5" t="s">
        <v>5</v>
      </c>
      <c r="I68" s="7">
        <v>41334</v>
      </c>
      <c r="J68" s="7">
        <v>41334</v>
      </c>
      <c r="K68" s="7">
        <v>41362</v>
      </c>
      <c r="L68" s="6">
        <v>-175468.98</v>
      </c>
      <c r="U68" s="6">
        <v>-175468.98</v>
      </c>
      <c r="V68" s="6">
        <f>+V67-Table_MAG_Ledger_Authorized[[#This Row],[Federal Amount]]</f>
        <v>83731052.145000011</v>
      </c>
      <c r="W68" s="6"/>
      <c r="Z68" s="5"/>
      <c r="AA68" s="109"/>
      <c r="AC68" s="18"/>
      <c r="AD68" s="11"/>
      <c r="AG68" s="7"/>
      <c r="AR68" s="6"/>
      <c r="BZ68" s="5"/>
      <c r="CF68" s="13"/>
    </row>
    <row r="69" spans="1:84" ht="30" x14ac:dyDescent="0.25">
      <c r="A69" s="5" t="s">
        <v>73</v>
      </c>
      <c r="C69" s="5" t="s">
        <v>140</v>
      </c>
      <c r="D69" s="5" t="s">
        <v>60</v>
      </c>
      <c r="E69" s="5" t="s">
        <v>141</v>
      </c>
      <c r="F69" s="5" t="s">
        <v>142</v>
      </c>
      <c r="G69" s="5" t="s">
        <v>143</v>
      </c>
      <c r="H69" s="5" t="s">
        <v>5</v>
      </c>
      <c r="I69" s="7">
        <v>41324</v>
      </c>
      <c r="J69" s="7">
        <v>41324</v>
      </c>
      <c r="K69" s="7">
        <v>41346</v>
      </c>
      <c r="L69" s="6">
        <v>-61155.96</v>
      </c>
      <c r="U69" s="6">
        <v>-61155.96</v>
      </c>
      <c r="V69" s="6">
        <f>+V68-Table_MAG_Ledger_Authorized[[#This Row],[Federal Amount]]</f>
        <v>83792208.105000004</v>
      </c>
      <c r="W69" s="6"/>
      <c r="Z69" s="5"/>
      <c r="AA69" s="109"/>
      <c r="AC69" s="18"/>
      <c r="AD69" s="11"/>
      <c r="AG69" s="7"/>
      <c r="AR69" s="6"/>
      <c r="BZ69" s="5"/>
      <c r="CF69" s="13"/>
    </row>
    <row r="70" spans="1:84" ht="30" x14ac:dyDescent="0.25">
      <c r="A70" s="5" t="s">
        <v>73</v>
      </c>
      <c r="C70" s="5" t="s">
        <v>140</v>
      </c>
      <c r="D70" s="5" t="s">
        <v>60</v>
      </c>
      <c r="E70" s="5" t="s">
        <v>144</v>
      </c>
      <c r="F70" s="5" t="s">
        <v>142</v>
      </c>
      <c r="G70" s="5" t="s">
        <v>143</v>
      </c>
      <c r="H70" s="5" t="s">
        <v>5</v>
      </c>
      <c r="I70" s="7">
        <v>41292</v>
      </c>
      <c r="J70" s="7">
        <v>41292</v>
      </c>
      <c r="K70" s="7">
        <v>41311</v>
      </c>
      <c r="L70" s="6">
        <v>0</v>
      </c>
      <c r="U70" s="6">
        <v>0</v>
      </c>
      <c r="V70" s="6">
        <f>+V69-Table_MAG_Ledger_Authorized[[#This Row],[Federal Amount]]</f>
        <v>83792208.105000004</v>
      </c>
      <c r="W70" s="6"/>
      <c r="Z70" s="5"/>
      <c r="AA70" s="109"/>
      <c r="AC70" s="18"/>
      <c r="AD70" s="11"/>
      <c r="AG70" s="7"/>
      <c r="AR70" s="6"/>
      <c r="BZ70" s="5"/>
      <c r="CF70" s="13"/>
    </row>
    <row r="71" spans="1:84" ht="45" x14ac:dyDescent="0.25">
      <c r="A71" s="5" t="s">
        <v>73</v>
      </c>
      <c r="C71" s="5" t="s">
        <v>145</v>
      </c>
      <c r="D71" s="5" t="s">
        <v>62</v>
      </c>
      <c r="E71" s="5" t="s">
        <v>146</v>
      </c>
      <c r="F71" s="5" t="s">
        <v>147</v>
      </c>
      <c r="G71" s="5" t="s">
        <v>148</v>
      </c>
      <c r="H71" s="5" t="s">
        <v>5</v>
      </c>
      <c r="I71" s="7">
        <v>41212</v>
      </c>
      <c r="J71" s="7">
        <v>41212</v>
      </c>
      <c r="K71" s="7">
        <v>41320</v>
      </c>
      <c r="L71" s="6">
        <v>-7857.88</v>
      </c>
      <c r="U71" s="6">
        <v>-7857.88</v>
      </c>
      <c r="V71" s="6">
        <f>+V70-Table_MAG_Ledger_Authorized[[#This Row],[Federal Amount]]</f>
        <v>83800065.984999999</v>
      </c>
      <c r="W71" s="6"/>
      <c r="Z71" s="5"/>
      <c r="AA71" s="109"/>
      <c r="AC71" s="18"/>
      <c r="AD71" s="11"/>
      <c r="AG71" s="7"/>
      <c r="AR71" s="6"/>
      <c r="BZ71" s="5"/>
      <c r="CF71" s="13"/>
    </row>
    <row r="72" spans="1:84" ht="30" x14ac:dyDescent="0.25">
      <c r="A72" s="5" t="s">
        <v>73</v>
      </c>
      <c r="C72" s="5" t="s">
        <v>149</v>
      </c>
      <c r="D72" s="5" t="s">
        <v>62</v>
      </c>
      <c r="E72" s="5" t="s">
        <v>150</v>
      </c>
      <c r="F72" s="5" t="s">
        <v>151</v>
      </c>
      <c r="G72" s="5" t="s">
        <v>152</v>
      </c>
      <c r="H72" s="5" t="s">
        <v>5</v>
      </c>
      <c r="I72" s="7">
        <v>41261</v>
      </c>
      <c r="J72" s="7">
        <v>41261</v>
      </c>
      <c r="K72" s="7">
        <v>41274</v>
      </c>
      <c r="L72" s="6">
        <v>-5113.54</v>
      </c>
      <c r="U72" s="6">
        <v>-5113.54</v>
      </c>
      <c r="V72" s="6">
        <f>+V71-Table_MAG_Ledger_Authorized[[#This Row],[Federal Amount]]</f>
        <v>83805179.525000006</v>
      </c>
      <c r="W72" s="6"/>
      <c r="Z72" s="5"/>
      <c r="AA72" s="109"/>
      <c r="AC72" s="18"/>
      <c r="AD72" s="11"/>
      <c r="AG72" s="7"/>
      <c r="AR72" s="6"/>
      <c r="BZ72" s="5"/>
      <c r="CF72" s="13"/>
    </row>
    <row r="73" spans="1:84" ht="30" x14ac:dyDescent="0.25">
      <c r="A73" s="5" t="s">
        <v>73</v>
      </c>
      <c r="C73" s="5" t="s">
        <v>153</v>
      </c>
      <c r="D73" s="5" t="s">
        <v>60</v>
      </c>
      <c r="E73" s="5" t="s">
        <v>154</v>
      </c>
      <c r="F73" s="5" t="s">
        <v>155</v>
      </c>
      <c r="G73" s="5" t="s">
        <v>156</v>
      </c>
      <c r="H73" s="5" t="s">
        <v>5</v>
      </c>
      <c r="I73" s="7">
        <v>41212</v>
      </c>
      <c r="J73" s="7">
        <v>41212</v>
      </c>
      <c r="K73" s="7">
        <v>41262</v>
      </c>
      <c r="L73" s="6">
        <v>0</v>
      </c>
      <c r="U73" s="6">
        <v>0</v>
      </c>
      <c r="V73" s="6">
        <f>+V72-Table_MAG_Ledger_Authorized[[#This Row],[Federal Amount]]</f>
        <v>83805179.525000006</v>
      </c>
      <c r="W73" s="6"/>
      <c r="Z73" s="5"/>
      <c r="AA73" s="109"/>
      <c r="AC73" s="18"/>
      <c r="AD73" s="11"/>
      <c r="AG73" s="7"/>
      <c r="AR73" s="6"/>
      <c r="BZ73" s="5"/>
      <c r="CF73" s="13"/>
    </row>
    <row r="74" spans="1:84" ht="30" x14ac:dyDescent="0.25">
      <c r="A74" s="5" t="s">
        <v>73</v>
      </c>
      <c r="C74" s="5" t="s">
        <v>330</v>
      </c>
      <c r="D74" s="5" t="s">
        <v>60</v>
      </c>
      <c r="E74" s="5" t="s">
        <v>331</v>
      </c>
      <c r="F74" s="5" t="s">
        <v>332</v>
      </c>
      <c r="G74" s="5" t="s">
        <v>110</v>
      </c>
      <c r="H74" s="5" t="s">
        <v>5</v>
      </c>
      <c r="I74" s="7">
        <v>41191</v>
      </c>
      <c r="J74" s="7">
        <v>41191</v>
      </c>
      <c r="K74" s="7">
        <v>41495</v>
      </c>
      <c r="L74" s="6">
        <v>0</v>
      </c>
      <c r="U74" s="6">
        <v>0</v>
      </c>
      <c r="V74" s="6">
        <f>+V73-Table_MAG_Ledger_Authorized[[#This Row],[Federal Amount]]</f>
        <v>83805179.525000006</v>
      </c>
      <c r="W74" s="6"/>
      <c r="Z74" s="5"/>
      <c r="AA74" s="109"/>
      <c r="AC74" s="18"/>
      <c r="AD74" s="11"/>
      <c r="AG74" s="7"/>
      <c r="AR74" s="6"/>
      <c r="BZ74" s="5"/>
      <c r="CF74" s="13"/>
    </row>
    <row r="75" spans="1:84" x14ac:dyDescent="0.25">
      <c r="A75" s="5" t="s">
        <v>73</v>
      </c>
      <c r="C75" s="5" t="s">
        <v>157</v>
      </c>
      <c r="D75" s="5" t="s">
        <v>60</v>
      </c>
      <c r="E75" s="5" t="s">
        <v>158</v>
      </c>
      <c r="F75" s="5" t="s">
        <v>159</v>
      </c>
      <c r="G75" s="5" t="s">
        <v>110</v>
      </c>
      <c r="H75" s="5" t="s">
        <v>5</v>
      </c>
      <c r="I75" s="7">
        <v>41214</v>
      </c>
      <c r="J75" s="7">
        <v>41214</v>
      </c>
      <c r="K75" s="7">
        <v>41281</v>
      </c>
      <c r="L75" s="6">
        <v>0</v>
      </c>
      <c r="U75" s="6">
        <v>0</v>
      </c>
      <c r="V75" s="6">
        <f>+V74-Table_MAG_Ledger_Authorized[[#This Row],[Federal Amount]]</f>
        <v>83805179.525000006</v>
      </c>
      <c r="W75" s="6"/>
      <c r="Z75" s="5"/>
      <c r="AA75" s="109"/>
      <c r="AC75" s="18"/>
      <c r="AD75" s="11"/>
      <c r="AG75" s="7"/>
      <c r="AR75" s="6"/>
      <c r="BZ75" s="5"/>
      <c r="CF75" s="13"/>
    </row>
    <row r="76" spans="1:84" ht="30" x14ac:dyDescent="0.25">
      <c r="A76" s="5" t="s">
        <v>73</v>
      </c>
      <c r="C76" s="5" t="s">
        <v>160</v>
      </c>
      <c r="D76" s="5" t="s">
        <v>60</v>
      </c>
      <c r="E76" s="5" t="s">
        <v>161</v>
      </c>
      <c r="F76" s="5" t="s">
        <v>162</v>
      </c>
      <c r="G76" s="5" t="s">
        <v>156</v>
      </c>
      <c r="H76" s="5" t="s">
        <v>5</v>
      </c>
      <c r="I76" s="7">
        <v>41191</v>
      </c>
      <c r="J76" s="7">
        <v>41191</v>
      </c>
      <c r="K76" s="7">
        <v>41281</v>
      </c>
      <c r="L76" s="6">
        <v>-30949.99</v>
      </c>
      <c r="U76" s="6">
        <v>-30949.99</v>
      </c>
      <c r="V76" s="6">
        <f>+V75-Table_MAG_Ledger_Authorized[[#This Row],[Federal Amount]]</f>
        <v>83836129.515000001</v>
      </c>
      <c r="W76" s="6"/>
      <c r="Z76" s="5"/>
      <c r="AA76" s="109"/>
      <c r="AC76" s="18"/>
      <c r="AD76" s="11"/>
      <c r="AG76" s="7"/>
      <c r="AR76" s="6"/>
      <c r="BZ76" s="5"/>
      <c r="CF76" s="13"/>
    </row>
    <row r="77" spans="1:84" ht="30" x14ac:dyDescent="0.25">
      <c r="A77" s="5" t="s">
        <v>73</v>
      </c>
      <c r="C77" s="5" t="s">
        <v>163</v>
      </c>
      <c r="D77" s="5" t="s">
        <v>62</v>
      </c>
      <c r="E77" s="5" t="s">
        <v>164</v>
      </c>
      <c r="F77" s="5" t="s">
        <v>165</v>
      </c>
      <c r="G77" s="5" t="s">
        <v>103</v>
      </c>
      <c r="H77" s="5" t="s">
        <v>5</v>
      </c>
      <c r="I77" s="7">
        <v>41256</v>
      </c>
      <c r="J77" s="7">
        <v>41256</v>
      </c>
      <c r="K77" s="7">
        <v>41274</v>
      </c>
      <c r="L77" s="6">
        <v>-115010.2</v>
      </c>
      <c r="U77" s="6">
        <v>-115010.2</v>
      </c>
      <c r="V77" s="6">
        <f>+V76-Table_MAG_Ledger_Authorized[[#This Row],[Federal Amount]]</f>
        <v>83951139.715000004</v>
      </c>
      <c r="W77" s="6"/>
      <c r="Z77" s="5"/>
      <c r="AA77" s="109"/>
      <c r="AC77" s="18"/>
      <c r="AD77" s="11"/>
      <c r="AG77" s="7"/>
      <c r="AR77" s="6"/>
      <c r="BZ77" s="5"/>
      <c r="CF77" s="13"/>
    </row>
    <row r="78" spans="1:84" ht="30" x14ac:dyDescent="0.25">
      <c r="A78" s="5" t="s">
        <v>73</v>
      </c>
      <c r="C78" s="5" t="s">
        <v>166</v>
      </c>
      <c r="D78" s="5" t="s">
        <v>167</v>
      </c>
      <c r="E78" s="5" t="s">
        <v>168</v>
      </c>
      <c r="F78" s="5" t="s">
        <v>169</v>
      </c>
      <c r="G78" s="5" t="s">
        <v>101</v>
      </c>
      <c r="H78" s="5" t="s">
        <v>5</v>
      </c>
      <c r="I78" s="7">
        <v>41191</v>
      </c>
      <c r="J78" s="7">
        <v>41191</v>
      </c>
      <c r="K78" s="7">
        <v>41205</v>
      </c>
      <c r="L78" s="6">
        <v>0</v>
      </c>
      <c r="U78" s="6">
        <v>0</v>
      </c>
      <c r="V78" s="6">
        <f>+V77-Table_MAG_Ledger_Authorized[[#This Row],[Federal Amount]]</f>
        <v>83951139.715000004</v>
      </c>
      <c r="W78" s="6"/>
      <c r="Z78" s="5"/>
      <c r="AA78" s="109"/>
      <c r="AC78" s="18"/>
      <c r="AD78" s="11"/>
      <c r="AG78" s="7"/>
      <c r="AR78" s="6"/>
      <c r="BZ78" s="5"/>
      <c r="CF78" s="13"/>
    </row>
    <row r="79" spans="1:84" ht="30" x14ac:dyDescent="0.25">
      <c r="A79" s="5" t="s">
        <v>73</v>
      </c>
      <c r="C79" s="5" t="s">
        <v>491</v>
      </c>
      <c r="D79" s="5" t="s">
        <v>60</v>
      </c>
      <c r="E79" s="5" t="s">
        <v>492</v>
      </c>
      <c r="F79" s="5" t="s">
        <v>493</v>
      </c>
      <c r="G79" s="5" t="s">
        <v>101</v>
      </c>
      <c r="H79" s="5" t="s">
        <v>5</v>
      </c>
      <c r="I79" s="7">
        <v>41421</v>
      </c>
      <c r="J79" s="7">
        <v>41421</v>
      </c>
      <c r="K79" s="7">
        <v>41422</v>
      </c>
      <c r="L79" s="6">
        <v>-26163.89</v>
      </c>
      <c r="U79" s="6">
        <v>-26163.89</v>
      </c>
      <c r="V79" s="6">
        <f>+V78-Table_MAG_Ledger_Authorized[[#This Row],[Federal Amount]]</f>
        <v>83977303.605000004</v>
      </c>
      <c r="W79" s="6"/>
      <c r="Z79" s="5"/>
      <c r="AA79" s="109"/>
      <c r="AC79" s="18"/>
      <c r="AD79" s="11"/>
      <c r="AG79" s="7"/>
      <c r="AR79" s="6"/>
      <c r="BZ79" s="5"/>
      <c r="CF79" s="13"/>
    </row>
    <row r="80" spans="1:84" x14ac:dyDescent="0.25">
      <c r="A80" s="5" t="s">
        <v>73</v>
      </c>
      <c r="C80" s="5" t="s">
        <v>170</v>
      </c>
      <c r="D80" s="5" t="s">
        <v>60</v>
      </c>
      <c r="E80" s="5" t="s">
        <v>171</v>
      </c>
      <c r="F80" s="5" t="s">
        <v>172</v>
      </c>
      <c r="G80" s="5" t="s">
        <v>121</v>
      </c>
      <c r="H80" s="5" t="s">
        <v>5</v>
      </c>
      <c r="I80" s="7">
        <v>41191</v>
      </c>
      <c r="J80" s="7">
        <v>41191</v>
      </c>
      <c r="K80" s="7">
        <v>41205</v>
      </c>
      <c r="L80" s="6">
        <v>0</v>
      </c>
      <c r="U80" s="6">
        <v>0</v>
      </c>
      <c r="V80" s="6">
        <f>+V79-Table_MAG_Ledger_Authorized[[#This Row],[Federal Amount]]</f>
        <v>83977303.605000004</v>
      </c>
      <c r="W80" s="6"/>
      <c r="Z80" s="5"/>
      <c r="AA80" s="109"/>
      <c r="AC80" s="18"/>
      <c r="AD80" s="11"/>
      <c r="AG80" s="7"/>
      <c r="AR80" s="6"/>
      <c r="BZ80" s="5"/>
      <c r="CF80" s="13"/>
    </row>
    <row r="81" spans="1:84" ht="30" x14ac:dyDescent="0.25">
      <c r="A81" s="5" t="s">
        <v>73</v>
      </c>
      <c r="C81" s="5" t="s">
        <v>173</v>
      </c>
      <c r="D81" s="5" t="s">
        <v>60</v>
      </c>
      <c r="E81" s="5" t="s">
        <v>174</v>
      </c>
      <c r="F81" s="5" t="s">
        <v>175</v>
      </c>
      <c r="G81" s="5" t="s">
        <v>156</v>
      </c>
      <c r="H81" s="5" t="s">
        <v>5</v>
      </c>
      <c r="I81" s="7">
        <v>41274</v>
      </c>
      <c r="J81" s="7">
        <v>41274</v>
      </c>
      <c r="K81" s="7">
        <v>41281</v>
      </c>
      <c r="L81" s="6">
        <v>0</v>
      </c>
      <c r="U81" s="6">
        <v>0</v>
      </c>
      <c r="V81" s="6">
        <f>+V80-Table_MAG_Ledger_Authorized[[#This Row],[Federal Amount]]</f>
        <v>83977303.605000004</v>
      </c>
      <c r="W81" s="6"/>
      <c r="Z81" s="5"/>
      <c r="AA81" s="109"/>
      <c r="AC81" s="18"/>
      <c r="AD81" s="11"/>
      <c r="AG81" s="7"/>
      <c r="AR81" s="6"/>
      <c r="BZ81" s="5"/>
      <c r="CF81" s="13"/>
    </row>
    <row r="82" spans="1:84" x14ac:dyDescent="0.25">
      <c r="A82" s="5" t="s">
        <v>73</v>
      </c>
      <c r="C82" s="5" t="s">
        <v>176</v>
      </c>
      <c r="D82" s="5" t="s">
        <v>60</v>
      </c>
      <c r="E82" s="5" t="s">
        <v>177</v>
      </c>
      <c r="F82" s="5" t="s">
        <v>178</v>
      </c>
      <c r="G82" s="5" t="s">
        <v>152</v>
      </c>
      <c r="H82" s="5" t="s">
        <v>5</v>
      </c>
      <c r="I82" s="7">
        <v>41191</v>
      </c>
      <c r="J82" s="7">
        <v>41191</v>
      </c>
      <c r="K82" s="7">
        <v>41206</v>
      </c>
      <c r="L82" s="6">
        <v>-30298.28</v>
      </c>
      <c r="U82" s="6">
        <v>-30298.28</v>
      </c>
      <c r="V82" s="6">
        <f>+V81-Table_MAG_Ledger_Authorized[[#This Row],[Federal Amount]]</f>
        <v>84007601.885000005</v>
      </c>
      <c r="W82" s="6"/>
      <c r="Z82" s="5"/>
      <c r="AA82" s="109"/>
      <c r="AC82" s="18"/>
      <c r="AD82" s="11"/>
      <c r="AG82" s="7"/>
      <c r="AR82" s="6"/>
      <c r="BZ82" s="5"/>
      <c r="CF82" s="13"/>
    </row>
    <row r="83" spans="1:84" x14ac:dyDescent="0.25">
      <c r="A83" s="5" t="s">
        <v>73</v>
      </c>
      <c r="C83" s="5" t="s">
        <v>429</v>
      </c>
      <c r="D83" s="5" t="s">
        <v>62</v>
      </c>
      <c r="E83" s="5" t="s">
        <v>430</v>
      </c>
      <c r="F83" s="5" t="s">
        <v>431</v>
      </c>
      <c r="G83" s="5" t="s">
        <v>103</v>
      </c>
      <c r="H83" s="5" t="s">
        <v>4</v>
      </c>
      <c r="I83" s="7">
        <v>41449</v>
      </c>
      <c r="J83" s="7">
        <v>41466</v>
      </c>
      <c r="K83" s="7">
        <v>41471</v>
      </c>
      <c r="R83" s="6">
        <v>1000000</v>
      </c>
      <c r="U83" s="6">
        <v>1000000</v>
      </c>
      <c r="V83" s="6">
        <f>+V82-Table_MAG_Ledger_Authorized[[#This Row],[Federal Amount]]</f>
        <v>83007601.885000005</v>
      </c>
      <c r="W83" s="6"/>
      <c r="Z83" s="5"/>
      <c r="AA83" s="109"/>
      <c r="AC83" s="18"/>
      <c r="AD83" s="11"/>
      <c r="AG83" s="7"/>
      <c r="AR83" s="6"/>
      <c r="BZ83" s="5"/>
      <c r="CF83" s="13"/>
    </row>
    <row r="84" spans="1:84" x14ac:dyDescent="0.25">
      <c r="A84" s="5" t="s">
        <v>73</v>
      </c>
      <c r="C84" s="5" t="s">
        <v>795</v>
      </c>
      <c r="D84" s="5" t="s">
        <v>60</v>
      </c>
      <c r="E84" s="5" t="s">
        <v>796</v>
      </c>
      <c r="F84" s="5" t="s">
        <v>797</v>
      </c>
      <c r="G84" s="5" t="s">
        <v>195</v>
      </c>
      <c r="H84" s="5" t="s">
        <v>4</v>
      </c>
      <c r="I84" s="7">
        <v>41530</v>
      </c>
      <c r="J84" s="7">
        <v>41533</v>
      </c>
      <c r="K84" s="7">
        <v>41536</v>
      </c>
      <c r="L84" s="6">
        <v>100000</v>
      </c>
      <c r="U84" s="6">
        <v>100000</v>
      </c>
      <c r="V84" s="6">
        <f>+V83-Table_MAG_Ledger_Authorized[[#This Row],[Federal Amount]]</f>
        <v>82907601.885000005</v>
      </c>
      <c r="W84" s="6"/>
      <c r="Z84" s="5"/>
      <c r="AA84" s="109"/>
      <c r="AC84" s="18"/>
      <c r="AD84" s="11"/>
      <c r="AG84" s="7"/>
      <c r="AR84" s="6"/>
      <c r="BZ84" s="5"/>
      <c r="CF84" s="13"/>
    </row>
    <row r="85" spans="1:84" x14ac:dyDescent="0.25">
      <c r="A85" s="5" t="s">
        <v>73</v>
      </c>
      <c r="C85" s="5" t="s">
        <v>699</v>
      </c>
      <c r="D85" s="5" t="s">
        <v>60</v>
      </c>
      <c r="E85" s="5" t="s">
        <v>700</v>
      </c>
      <c r="F85" s="5" t="s">
        <v>701</v>
      </c>
      <c r="G85" s="5" t="s">
        <v>121</v>
      </c>
      <c r="H85" s="5" t="s">
        <v>5</v>
      </c>
      <c r="I85" s="7">
        <v>41480</v>
      </c>
      <c r="J85" s="7">
        <v>41480</v>
      </c>
      <c r="K85" s="7">
        <v>41488</v>
      </c>
      <c r="L85" s="6">
        <v>-441705.01</v>
      </c>
      <c r="U85" s="6">
        <v>-441705.01</v>
      </c>
      <c r="V85" s="6">
        <f>+V84-Table_MAG_Ledger_Authorized[[#This Row],[Federal Amount]]</f>
        <v>83349306.895000011</v>
      </c>
      <c r="W85" s="6"/>
      <c r="Z85" s="5"/>
      <c r="AA85" s="109"/>
      <c r="AC85" s="18"/>
      <c r="AD85" s="11"/>
      <c r="AG85" s="7"/>
      <c r="AR85" s="6"/>
      <c r="BZ85" s="5"/>
      <c r="CF85" s="13"/>
    </row>
    <row r="86" spans="1:84" ht="45" x14ac:dyDescent="0.25">
      <c r="A86" s="5" t="s">
        <v>73</v>
      </c>
      <c r="C86" s="5" t="s">
        <v>179</v>
      </c>
      <c r="D86" s="5" t="s">
        <v>60</v>
      </c>
      <c r="E86" s="5" t="s">
        <v>180</v>
      </c>
      <c r="F86" s="5" t="s">
        <v>181</v>
      </c>
      <c r="G86" s="5" t="s">
        <v>103</v>
      </c>
      <c r="H86" s="5" t="s">
        <v>5</v>
      </c>
      <c r="I86" s="7">
        <v>41274</v>
      </c>
      <c r="J86" s="7">
        <v>41274</v>
      </c>
      <c r="K86" s="7">
        <v>41281</v>
      </c>
      <c r="L86" s="6">
        <v>0</v>
      </c>
      <c r="U86" s="6">
        <v>0</v>
      </c>
      <c r="V86" s="6">
        <f>+V85-Table_MAG_Ledger_Authorized[[#This Row],[Federal Amount]]</f>
        <v>83349306.895000011</v>
      </c>
      <c r="W86" s="6"/>
      <c r="Z86" s="5"/>
      <c r="AA86" s="109"/>
      <c r="AC86" s="18"/>
      <c r="AD86" s="11"/>
      <c r="AG86" s="7"/>
      <c r="AR86" s="6"/>
      <c r="BZ86" s="5"/>
      <c r="CF86" s="13"/>
    </row>
    <row r="87" spans="1:84" ht="30" x14ac:dyDescent="0.25">
      <c r="A87" s="5" t="s">
        <v>73</v>
      </c>
      <c r="C87" s="5" t="s">
        <v>182</v>
      </c>
      <c r="D87" s="5" t="s">
        <v>60</v>
      </c>
      <c r="E87" s="5" t="s">
        <v>183</v>
      </c>
      <c r="F87" s="5" t="s">
        <v>184</v>
      </c>
      <c r="G87" s="5" t="s">
        <v>121</v>
      </c>
      <c r="H87" s="5" t="s">
        <v>5</v>
      </c>
      <c r="I87" s="7">
        <v>41212</v>
      </c>
      <c r="J87" s="7">
        <v>41212</v>
      </c>
      <c r="K87" s="7">
        <v>41248</v>
      </c>
      <c r="L87" s="6">
        <v>-309.13</v>
      </c>
      <c r="U87" s="6">
        <v>-309.13</v>
      </c>
      <c r="V87" s="6">
        <f>+V86-Table_MAG_Ledger_Authorized[[#This Row],[Federal Amount]]</f>
        <v>83349616.025000006</v>
      </c>
      <c r="W87" s="6"/>
      <c r="Z87" s="5"/>
      <c r="AA87" s="109"/>
      <c r="AC87" s="18"/>
      <c r="AD87" s="11"/>
      <c r="AG87" s="7"/>
      <c r="AR87" s="6"/>
      <c r="BZ87" s="5"/>
      <c r="CF87" s="13"/>
    </row>
    <row r="88" spans="1:84" ht="30" x14ac:dyDescent="0.25">
      <c r="A88" s="5" t="s">
        <v>73</v>
      </c>
      <c r="C88" s="5" t="s">
        <v>185</v>
      </c>
      <c r="D88" s="5" t="s">
        <v>60</v>
      </c>
      <c r="E88" s="5" t="s">
        <v>186</v>
      </c>
      <c r="F88" s="5" t="s">
        <v>187</v>
      </c>
      <c r="G88" s="5" t="s">
        <v>110</v>
      </c>
      <c r="H88" s="5" t="s">
        <v>5</v>
      </c>
      <c r="I88" s="7">
        <v>41256</v>
      </c>
      <c r="J88" s="7">
        <v>41256</v>
      </c>
      <c r="K88" s="7">
        <v>41320</v>
      </c>
      <c r="L88" s="6">
        <v>-767321.75</v>
      </c>
      <c r="U88" s="6">
        <v>-767321.75</v>
      </c>
      <c r="V88" s="6">
        <f>+V87-Table_MAG_Ledger_Authorized[[#This Row],[Federal Amount]]</f>
        <v>84116937.775000006</v>
      </c>
      <c r="W88" s="6"/>
      <c r="Z88" s="5"/>
      <c r="AA88" s="109"/>
      <c r="AC88" s="18"/>
      <c r="AD88" s="11"/>
      <c r="AG88" s="7"/>
      <c r="AR88" s="6"/>
      <c r="BZ88" s="5"/>
      <c r="CF88" s="13"/>
    </row>
    <row r="89" spans="1:84" ht="45" x14ac:dyDescent="0.25">
      <c r="A89" s="5" t="s">
        <v>73</v>
      </c>
      <c r="C89" s="5" t="s">
        <v>188</v>
      </c>
      <c r="D89" s="5" t="s">
        <v>189</v>
      </c>
      <c r="E89" s="5" t="s">
        <v>190</v>
      </c>
      <c r="F89" s="5" t="s">
        <v>191</v>
      </c>
      <c r="G89" s="5" t="s">
        <v>125</v>
      </c>
      <c r="H89" s="5" t="s">
        <v>5</v>
      </c>
      <c r="I89" s="7">
        <v>41191</v>
      </c>
      <c r="J89" s="7">
        <v>41191</v>
      </c>
      <c r="K89" s="7">
        <v>41205</v>
      </c>
      <c r="R89" s="6">
        <v>-55137.22</v>
      </c>
      <c r="U89" s="6">
        <v>-55137.22</v>
      </c>
      <c r="V89" s="6">
        <f>+V88-Table_MAG_Ledger_Authorized[[#This Row],[Federal Amount]]</f>
        <v>84172074.995000005</v>
      </c>
      <c r="W89" s="6"/>
      <c r="Z89" s="5"/>
      <c r="AA89" s="109"/>
      <c r="AC89" s="18"/>
      <c r="AD89" s="11"/>
      <c r="AG89" s="7"/>
      <c r="AR89" s="6"/>
      <c r="BZ89" s="5"/>
      <c r="CF89" s="13"/>
    </row>
    <row r="90" spans="1:84" ht="30" x14ac:dyDescent="0.25">
      <c r="A90" s="5" t="s">
        <v>73</v>
      </c>
      <c r="C90" s="5" t="s">
        <v>192</v>
      </c>
      <c r="D90" s="5" t="s">
        <v>60</v>
      </c>
      <c r="E90" s="5" t="s">
        <v>193</v>
      </c>
      <c r="F90" s="5" t="s">
        <v>194</v>
      </c>
      <c r="G90" s="5" t="s">
        <v>195</v>
      </c>
      <c r="H90" s="5" t="s">
        <v>5</v>
      </c>
      <c r="I90" s="7">
        <v>41191</v>
      </c>
      <c r="J90" s="7">
        <v>41191</v>
      </c>
      <c r="K90" s="7">
        <v>41206</v>
      </c>
      <c r="L90" s="6">
        <v>-56142.38</v>
      </c>
      <c r="U90" s="6">
        <v>-56142.38</v>
      </c>
      <c r="V90" s="6">
        <f>+V89-Table_MAG_Ledger_Authorized[[#This Row],[Federal Amount]]</f>
        <v>84228217.375</v>
      </c>
      <c r="W90" s="6"/>
      <c r="Z90" s="5"/>
      <c r="AA90" s="109"/>
      <c r="AC90" s="18"/>
      <c r="AD90" s="11"/>
      <c r="AG90" s="7"/>
      <c r="AR90" s="6"/>
      <c r="BZ90" s="5"/>
      <c r="CF90" s="13"/>
    </row>
    <row r="91" spans="1:84" ht="45" x14ac:dyDescent="0.25">
      <c r="A91" s="5" t="s">
        <v>73</v>
      </c>
      <c r="C91" s="5" t="s">
        <v>196</v>
      </c>
      <c r="D91" s="5" t="s">
        <v>60</v>
      </c>
      <c r="E91" s="5" t="s">
        <v>197</v>
      </c>
      <c r="F91" s="5" t="s">
        <v>198</v>
      </c>
      <c r="G91" s="5" t="s">
        <v>110</v>
      </c>
      <c r="H91" s="5" t="s">
        <v>5</v>
      </c>
      <c r="I91" s="7">
        <v>41274</v>
      </c>
      <c r="J91" s="7">
        <v>41274</v>
      </c>
      <c r="K91" s="7">
        <v>41281</v>
      </c>
      <c r="L91" s="6">
        <v>-3104.12</v>
      </c>
      <c r="U91" s="6">
        <v>-3104.12</v>
      </c>
      <c r="V91" s="6">
        <f>+V90-Table_MAG_Ledger_Authorized[[#This Row],[Federal Amount]]</f>
        <v>84231321.495000005</v>
      </c>
      <c r="W91" s="6"/>
      <c r="Z91" s="5"/>
      <c r="AA91" s="109"/>
      <c r="AC91" s="18"/>
      <c r="AD91" s="11"/>
      <c r="AG91" s="7"/>
      <c r="AR91" s="6"/>
      <c r="BZ91" s="5"/>
      <c r="CF91" s="13"/>
    </row>
    <row r="92" spans="1:84" x14ac:dyDescent="0.25">
      <c r="A92" s="5" t="s">
        <v>73</v>
      </c>
      <c r="C92" s="5" t="s">
        <v>199</v>
      </c>
      <c r="D92" s="5" t="s">
        <v>60</v>
      </c>
      <c r="E92" s="5" t="s">
        <v>200</v>
      </c>
      <c r="F92" s="5" t="s">
        <v>201</v>
      </c>
      <c r="G92" s="5" t="s">
        <v>110</v>
      </c>
      <c r="H92" s="5" t="s">
        <v>5</v>
      </c>
      <c r="I92" s="7">
        <v>41214</v>
      </c>
      <c r="J92" s="7">
        <v>41214</v>
      </c>
      <c r="K92" s="7">
        <v>41281</v>
      </c>
      <c r="L92" s="6">
        <v>-46.63</v>
      </c>
      <c r="U92" s="6">
        <v>-46.63</v>
      </c>
      <c r="V92" s="6">
        <f>+V91-Table_MAG_Ledger_Authorized[[#This Row],[Federal Amount]]</f>
        <v>84231368.125</v>
      </c>
      <c r="W92" s="6"/>
      <c r="Z92" s="5"/>
      <c r="AA92" s="109"/>
      <c r="AC92" s="18"/>
      <c r="AD92" s="11"/>
      <c r="AG92" s="7"/>
      <c r="AR92" s="6"/>
      <c r="BZ92" s="5"/>
      <c r="CF92" s="13"/>
    </row>
    <row r="93" spans="1:84" ht="45" x14ac:dyDescent="0.25">
      <c r="A93" s="5" t="s">
        <v>73</v>
      </c>
      <c r="C93" s="5" t="s">
        <v>202</v>
      </c>
      <c r="D93" s="5" t="s">
        <v>60</v>
      </c>
      <c r="E93" s="5" t="s">
        <v>203</v>
      </c>
      <c r="F93" s="5" t="s">
        <v>204</v>
      </c>
      <c r="G93" s="5" t="s">
        <v>152</v>
      </c>
      <c r="H93" s="5" t="s">
        <v>5</v>
      </c>
      <c r="I93" s="7">
        <v>41212</v>
      </c>
      <c r="J93" s="7">
        <v>41212</v>
      </c>
      <c r="K93" s="7">
        <v>41240</v>
      </c>
      <c r="L93" s="6">
        <v>0</v>
      </c>
      <c r="U93" s="6">
        <v>0</v>
      </c>
      <c r="V93" s="6">
        <f>+V92-Table_MAG_Ledger_Authorized[[#This Row],[Federal Amount]]</f>
        <v>84231368.125</v>
      </c>
      <c r="W93" s="6"/>
      <c r="Z93" s="5"/>
      <c r="AA93" s="109"/>
      <c r="AC93" s="18"/>
      <c r="AD93" s="11"/>
      <c r="AG93" s="7"/>
      <c r="AR93" s="6"/>
      <c r="BZ93" s="5"/>
      <c r="CF93" s="13"/>
    </row>
    <row r="94" spans="1:84" ht="30" x14ac:dyDescent="0.25">
      <c r="A94" s="5" t="s">
        <v>73</v>
      </c>
      <c r="C94" s="5" t="s">
        <v>205</v>
      </c>
      <c r="D94" s="5" t="s">
        <v>60</v>
      </c>
      <c r="E94" s="5" t="s">
        <v>206</v>
      </c>
      <c r="F94" s="5" t="s">
        <v>207</v>
      </c>
      <c r="G94" s="5" t="s">
        <v>101</v>
      </c>
      <c r="H94" s="5" t="s">
        <v>5</v>
      </c>
      <c r="I94" s="7">
        <v>41191</v>
      </c>
      <c r="J94" s="7">
        <v>41191</v>
      </c>
      <c r="K94" s="7">
        <v>41205</v>
      </c>
      <c r="L94" s="6">
        <v>-2180.13</v>
      </c>
      <c r="U94" s="6">
        <v>-2180.13</v>
      </c>
      <c r="V94" s="6">
        <f>+V93-Table_MAG_Ledger_Authorized[[#This Row],[Federal Amount]]</f>
        <v>84233548.254999995</v>
      </c>
      <c r="W94" s="6"/>
      <c r="Z94" s="5"/>
      <c r="AA94" s="109"/>
      <c r="AC94" s="18"/>
      <c r="AD94" s="11"/>
      <c r="AG94" s="7"/>
      <c r="AR94" s="6"/>
      <c r="BZ94" s="5"/>
      <c r="CF94" s="13"/>
    </row>
    <row r="95" spans="1:84" ht="45" x14ac:dyDescent="0.25">
      <c r="A95" s="5" t="s">
        <v>73</v>
      </c>
      <c r="C95" s="5" t="s">
        <v>208</v>
      </c>
      <c r="D95" s="5" t="s">
        <v>60</v>
      </c>
      <c r="E95" s="5" t="s">
        <v>209</v>
      </c>
      <c r="F95" s="5" t="s">
        <v>210</v>
      </c>
      <c r="G95" s="5" t="s">
        <v>103</v>
      </c>
      <c r="H95" s="5" t="s">
        <v>5</v>
      </c>
      <c r="I95" s="7">
        <v>41292</v>
      </c>
      <c r="J95" s="7">
        <v>41292</v>
      </c>
      <c r="K95" s="7">
        <v>41311</v>
      </c>
      <c r="L95" s="6">
        <v>-2226.91</v>
      </c>
      <c r="U95" s="6">
        <v>-2226.91</v>
      </c>
      <c r="V95" s="6">
        <f>+V94-Table_MAG_Ledger_Authorized[[#This Row],[Federal Amount]]</f>
        <v>84235775.164999992</v>
      </c>
      <c r="W95" s="6"/>
      <c r="Z95" s="5"/>
      <c r="AA95" s="109"/>
      <c r="AC95" s="18"/>
      <c r="AD95" s="11"/>
      <c r="AG95" s="7"/>
      <c r="AR95" s="6"/>
      <c r="BZ95" s="5"/>
      <c r="CF95" s="13"/>
    </row>
    <row r="96" spans="1:84" ht="45" x14ac:dyDescent="0.25">
      <c r="A96" s="5" t="s">
        <v>73</v>
      </c>
      <c r="C96" s="5" t="s">
        <v>211</v>
      </c>
      <c r="D96" s="5" t="s">
        <v>60</v>
      </c>
      <c r="E96" s="5" t="s">
        <v>212</v>
      </c>
      <c r="F96" s="5" t="s">
        <v>213</v>
      </c>
      <c r="G96" s="5" t="s">
        <v>214</v>
      </c>
      <c r="H96" s="5" t="s">
        <v>5</v>
      </c>
      <c r="I96" s="7">
        <v>41360</v>
      </c>
      <c r="J96" s="7">
        <v>41360</v>
      </c>
      <c r="K96" s="7">
        <v>41369</v>
      </c>
      <c r="L96" s="6">
        <v>-173656</v>
      </c>
      <c r="U96" s="6">
        <v>-173656</v>
      </c>
      <c r="V96" s="6">
        <f>+V95-Table_MAG_Ledger_Authorized[[#This Row],[Federal Amount]]</f>
        <v>84409431.164999992</v>
      </c>
      <c r="W96" s="6"/>
      <c r="Z96" s="5"/>
      <c r="AA96" s="109"/>
      <c r="AC96" s="18"/>
      <c r="AD96" s="11"/>
      <c r="AG96" s="7"/>
      <c r="AR96" s="6"/>
      <c r="BZ96" s="5"/>
      <c r="CF96" s="13"/>
    </row>
    <row r="97" spans="1:84" ht="30" x14ac:dyDescent="0.25">
      <c r="A97" s="5" t="s">
        <v>73</v>
      </c>
      <c r="C97" s="5" t="s">
        <v>215</v>
      </c>
      <c r="D97" s="5" t="s">
        <v>60</v>
      </c>
      <c r="E97" s="5" t="s">
        <v>216</v>
      </c>
      <c r="F97" s="5" t="s">
        <v>217</v>
      </c>
      <c r="G97" s="5" t="s">
        <v>114</v>
      </c>
      <c r="H97" s="5" t="s">
        <v>5</v>
      </c>
      <c r="I97" s="7">
        <v>41191</v>
      </c>
      <c r="J97" s="7">
        <v>41191</v>
      </c>
      <c r="K97" s="7">
        <v>41281</v>
      </c>
      <c r="L97" s="6">
        <v>0</v>
      </c>
      <c r="U97" s="6">
        <v>0</v>
      </c>
      <c r="V97" s="6">
        <f>+V96-Table_MAG_Ledger_Authorized[[#This Row],[Federal Amount]]</f>
        <v>84409431.164999992</v>
      </c>
      <c r="W97" s="6"/>
      <c r="Z97" s="5"/>
      <c r="AA97" s="109"/>
      <c r="AC97" s="18"/>
      <c r="AD97" s="11"/>
      <c r="AG97" s="7"/>
      <c r="AR97" s="6"/>
      <c r="BZ97" s="5"/>
      <c r="CF97" s="13"/>
    </row>
    <row r="98" spans="1:84" x14ac:dyDescent="0.25">
      <c r="A98" s="5" t="s">
        <v>73</v>
      </c>
      <c r="C98" s="5" t="s">
        <v>218</v>
      </c>
      <c r="D98" s="5" t="s">
        <v>60</v>
      </c>
      <c r="E98" s="5" t="s">
        <v>219</v>
      </c>
      <c r="F98" s="5" t="s">
        <v>220</v>
      </c>
      <c r="G98" s="5" t="s">
        <v>156</v>
      </c>
      <c r="H98" s="5" t="s">
        <v>5</v>
      </c>
      <c r="I98" s="7">
        <v>41334</v>
      </c>
      <c r="J98" s="7">
        <v>41334</v>
      </c>
      <c r="K98" s="7">
        <v>41362</v>
      </c>
      <c r="L98" s="6">
        <v>0</v>
      </c>
      <c r="U98" s="6">
        <v>0</v>
      </c>
      <c r="V98" s="6">
        <f>+V97-Table_MAG_Ledger_Authorized[[#This Row],[Federal Amount]]</f>
        <v>84409431.164999992</v>
      </c>
      <c r="W98" s="6"/>
      <c r="Z98" s="5"/>
      <c r="AA98" s="109"/>
      <c r="AC98" s="18"/>
      <c r="AD98" s="11"/>
      <c r="AG98" s="7"/>
      <c r="AR98" s="6"/>
      <c r="BZ98" s="5"/>
      <c r="CF98" s="13"/>
    </row>
    <row r="99" spans="1:84" ht="30" x14ac:dyDescent="0.25">
      <c r="A99" s="5" t="s">
        <v>73</v>
      </c>
      <c r="C99" s="5" t="s">
        <v>221</v>
      </c>
      <c r="D99" s="5" t="s">
        <v>60</v>
      </c>
      <c r="E99" s="5" t="s">
        <v>222</v>
      </c>
      <c r="F99" s="5" t="s">
        <v>223</v>
      </c>
      <c r="G99" s="5" t="s">
        <v>224</v>
      </c>
      <c r="H99" s="5" t="s">
        <v>23</v>
      </c>
      <c r="I99" s="7">
        <v>41250</v>
      </c>
      <c r="J99" s="7">
        <v>41254</v>
      </c>
      <c r="K99" s="7">
        <v>41256</v>
      </c>
      <c r="L99" s="6">
        <v>-40825</v>
      </c>
      <c r="U99" s="6">
        <v>-40825</v>
      </c>
      <c r="V99" s="6">
        <f>+V98-Table_MAG_Ledger_Authorized[[#This Row],[Federal Amount]]</f>
        <v>84450256.164999992</v>
      </c>
      <c r="W99" s="6"/>
      <c r="Z99" s="5"/>
      <c r="AA99" s="109"/>
      <c r="AC99" s="18"/>
      <c r="AD99" s="11"/>
      <c r="AG99" s="7"/>
      <c r="AR99" s="6"/>
      <c r="BZ99" s="5"/>
      <c r="CF99" s="13"/>
    </row>
    <row r="100" spans="1:84" ht="30" x14ac:dyDescent="0.25">
      <c r="A100" s="5" t="s">
        <v>73</v>
      </c>
      <c r="C100" s="5" t="s">
        <v>225</v>
      </c>
      <c r="D100" s="5" t="s">
        <v>60</v>
      </c>
      <c r="E100" s="5" t="s">
        <v>226</v>
      </c>
      <c r="F100" s="5" t="s">
        <v>227</v>
      </c>
      <c r="G100" s="5" t="s">
        <v>101</v>
      </c>
      <c r="H100" s="5" t="s">
        <v>5</v>
      </c>
      <c r="I100" s="7">
        <v>41191</v>
      </c>
      <c r="J100" s="7">
        <v>41191</v>
      </c>
      <c r="K100" s="7">
        <v>41205</v>
      </c>
      <c r="L100" s="6">
        <v>-1008.26</v>
      </c>
      <c r="U100" s="6">
        <v>-1008.26</v>
      </c>
      <c r="V100" s="6">
        <f>+V99-Table_MAG_Ledger_Authorized[[#This Row],[Federal Amount]]</f>
        <v>84451264.424999997</v>
      </c>
      <c r="W100" s="6"/>
      <c r="Z100" s="5"/>
      <c r="AA100" s="109"/>
      <c r="AC100" s="18"/>
      <c r="AD100" s="11"/>
      <c r="AG100" s="7"/>
      <c r="AR100" s="6"/>
      <c r="BZ100" s="5"/>
      <c r="CF100" s="13"/>
    </row>
    <row r="101" spans="1:84" ht="30" x14ac:dyDescent="0.25">
      <c r="A101" s="5" t="s">
        <v>73</v>
      </c>
      <c r="C101" s="5" t="s">
        <v>228</v>
      </c>
      <c r="D101" s="5" t="s">
        <v>60</v>
      </c>
      <c r="E101" s="5" t="s">
        <v>229</v>
      </c>
      <c r="F101" s="5" t="s">
        <v>230</v>
      </c>
      <c r="G101" s="5" t="s">
        <v>101</v>
      </c>
      <c r="H101" s="5" t="s">
        <v>5</v>
      </c>
      <c r="I101" s="7">
        <v>41219</v>
      </c>
      <c r="J101" s="7">
        <v>41219</v>
      </c>
      <c r="K101" s="7">
        <v>41262</v>
      </c>
      <c r="L101" s="6">
        <v>0</v>
      </c>
      <c r="R101" s="6">
        <v>-35878.28</v>
      </c>
      <c r="U101" s="6">
        <v>-35878.28</v>
      </c>
      <c r="V101" s="6">
        <f>+V100-Table_MAG_Ledger_Authorized[[#This Row],[Federal Amount]]</f>
        <v>84487142.704999998</v>
      </c>
      <c r="W101" s="6"/>
      <c r="Z101" s="5"/>
      <c r="AA101" s="109"/>
      <c r="AC101" s="18"/>
      <c r="AD101" s="11"/>
      <c r="AG101" s="7"/>
      <c r="AR101" s="6"/>
      <c r="BZ101" s="5"/>
      <c r="CF101" s="13"/>
    </row>
    <row r="102" spans="1:84" ht="30" x14ac:dyDescent="0.25">
      <c r="A102" s="5" t="s">
        <v>73</v>
      </c>
      <c r="C102" s="5" t="s">
        <v>228</v>
      </c>
      <c r="D102" s="5" t="s">
        <v>60</v>
      </c>
      <c r="E102" s="5" t="s">
        <v>229</v>
      </c>
      <c r="F102" s="5" t="s">
        <v>230</v>
      </c>
      <c r="G102" s="5" t="s">
        <v>101</v>
      </c>
      <c r="H102" s="5" t="s">
        <v>4</v>
      </c>
      <c r="I102" s="7">
        <v>41183</v>
      </c>
      <c r="J102" s="7">
        <v>41183</v>
      </c>
      <c r="K102" s="7">
        <v>41211</v>
      </c>
      <c r="R102" s="6">
        <v>37877</v>
      </c>
      <c r="U102" s="6">
        <v>37877</v>
      </c>
      <c r="V102" s="6">
        <f>+V101-Table_MAG_Ledger_Authorized[[#This Row],[Federal Amount]]</f>
        <v>84449265.704999998</v>
      </c>
      <c r="W102" s="6"/>
      <c r="Z102" s="5"/>
      <c r="AA102" s="109"/>
      <c r="AC102" s="18"/>
      <c r="AD102" s="11"/>
      <c r="AG102" s="7"/>
      <c r="AR102" s="6"/>
      <c r="BZ102" s="5"/>
      <c r="CF102" s="13"/>
    </row>
    <row r="103" spans="1:84" ht="45" x14ac:dyDescent="0.25">
      <c r="A103" s="5" t="s">
        <v>73</v>
      </c>
      <c r="C103" s="5" t="s">
        <v>333</v>
      </c>
      <c r="D103" s="5" t="s">
        <v>60</v>
      </c>
      <c r="E103" s="5" t="s">
        <v>334</v>
      </c>
      <c r="F103" s="5" t="s">
        <v>335</v>
      </c>
      <c r="G103" s="5" t="s">
        <v>103</v>
      </c>
      <c r="H103" s="5" t="s">
        <v>5</v>
      </c>
      <c r="I103" s="7">
        <v>41375</v>
      </c>
      <c r="J103" s="7">
        <v>41375</v>
      </c>
      <c r="K103" s="7">
        <v>41410</v>
      </c>
      <c r="L103" s="6">
        <v>-3080764.28</v>
      </c>
      <c r="U103" s="6">
        <v>-3080764.28</v>
      </c>
      <c r="V103" s="6">
        <f>+V102-Table_MAG_Ledger_Authorized[[#This Row],[Federal Amount]]</f>
        <v>87530029.984999999</v>
      </c>
      <c r="W103" s="6"/>
      <c r="Z103" s="5"/>
      <c r="AA103" s="109"/>
      <c r="AC103" s="18"/>
      <c r="AD103" s="11"/>
      <c r="AG103" s="7"/>
      <c r="AR103" s="6"/>
      <c r="BZ103" s="5"/>
      <c r="CF103" s="13"/>
    </row>
    <row r="104" spans="1:84" ht="45" x14ac:dyDescent="0.25">
      <c r="A104" s="5" t="s">
        <v>73</v>
      </c>
      <c r="C104" s="5" t="s">
        <v>336</v>
      </c>
      <c r="D104" s="5" t="s">
        <v>60</v>
      </c>
      <c r="E104" s="5" t="s">
        <v>337</v>
      </c>
      <c r="F104" s="5" t="s">
        <v>338</v>
      </c>
      <c r="G104" s="5" t="s">
        <v>103</v>
      </c>
      <c r="H104" s="5" t="s">
        <v>5</v>
      </c>
      <c r="I104" s="7">
        <v>41375</v>
      </c>
      <c r="J104" s="7">
        <v>41375</v>
      </c>
      <c r="K104" s="7">
        <v>41410</v>
      </c>
      <c r="L104" s="6">
        <v>-454783.07</v>
      </c>
      <c r="U104" s="6">
        <v>-454783.07</v>
      </c>
      <c r="V104" s="6">
        <f>+V103-Table_MAG_Ledger_Authorized[[#This Row],[Federal Amount]]</f>
        <v>87984813.054999992</v>
      </c>
      <c r="W104" s="6"/>
      <c r="Z104" s="5"/>
      <c r="AA104" s="109"/>
      <c r="AC104" s="18"/>
      <c r="AD104" s="11"/>
      <c r="AG104" s="7"/>
      <c r="AR104" s="6"/>
      <c r="BZ104" s="5"/>
      <c r="CF104" s="13"/>
    </row>
    <row r="105" spans="1:84" ht="30" x14ac:dyDescent="0.25">
      <c r="A105" s="5" t="s">
        <v>73</v>
      </c>
      <c r="C105" s="5" t="s">
        <v>231</v>
      </c>
      <c r="D105" s="5" t="s">
        <v>60</v>
      </c>
      <c r="E105" s="5" t="s">
        <v>232</v>
      </c>
      <c r="F105" s="5" t="s">
        <v>233</v>
      </c>
      <c r="G105" s="5" t="s">
        <v>132</v>
      </c>
      <c r="H105" s="5" t="s">
        <v>5</v>
      </c>
      <c r="I105" s="7">
        <v>41214</v>
      </c>
      <c r="J105" s="7">
        <v>41214</v>
      </c>
      <c r="K105" s="7">
        <v>41247</v>
      </c>
      <c r="L105" s="6">
        <v>0</v>
      </c>
      <c r="U105" s="6">
        <v>0</v>
      </c>
      <c r="V105" s="6">
        <f>+V104-Table_MAG_Ledger_Authorized[[#This Row],[Federal Amount]]</f>
        <v>87984813.054999992</v>
      </c>
      <c r="W105" s="6"/>
      <c r="Z105" s="5"/>
      <c r="AA105" s="109"/>
      <c r="AC105" s="18"/>
      <c r="AD105" s="11"/>
      <c r="AG105" s="7"/>
      <c r="AR105" s="6"/>
      <c r="BZ105" s="5"/>
      <c r="CF105" s="13"/>
    </row>
    <row r="106" spans="1:84" ht="30" x14ac:dyDescent="0.25">
      <c r="A106" s="5" t="s">
        <v>73</v>
      </c>
      <c r="C106" s="5" t="s">
        <v>234</v>
      </c>
      <c r="D106" s="5" t="s">
        <v>60</v>
      </c>
      <c r="E106" s="5" t="s">
        <v>235</v>
      </c>
      <c r="F106" s="5" t="s">
        <v>236</v>
      </c>
      <c r="G106" s="5" t="s">
        <v>103</v>
      </c>
      <c r="H106" s="5" t="s">
        <v>5</v>
      </c>
      <c r="I106" s="7">
        <v>41360</v>
      </c>
      <c r="J106" s="7">
        <v>41360</v>
      </c>
      <c r="K106" s="7">
        <v>41373</v>
      </c>
      <c r="L106" s="6">
        <v>-655179.6</v>
      </c>
      <c r="U106" s="6">
        <v>-655179.6</v>
      </c>
      <c r="V106" s="6">
        <f>+V105-Table_MAG_Ledger_Authorized[[#This Row],[Federal Amount]]</f>
        <v>88639992.654999986</v>
      </c>
      <c r="W106" s="6"/>
      <c r="Z106" s="5"/>
      <c r="AA106" s="109"/>
      <c r="AC106" s="18"/>
      <c r="AD106" s="11"/>
      <c r="AG106" s="7"/>
      <c r="AR106" s="6"/>
      <c r="BZ106" s="5"/>
      <c r="CF106" s="13"/>
    </row>
    <row r="107" spans="1:84" ht="45" x14ac:dyDescent="0.25">
      <c r="A107" s="5" t="s">
        <v>73</v>
      </c>
      <c r="C107" s="5" t="s">
        <v>237</v>
      </c>
      <c r="D107" s="5" t="s">
        <v>60</v>
      </c>
      <c r="E107" s="5" t="s">
        <v>238</v>
      </c>
      <c r="F107" s="5" t="s">
        <v>239</v>
      </c>
      <c r="G107" s="5" t="s">
        <v>148</v>
      </c>
      <c r="H107" s="5" t="s">
        <v>5</v>
      </c>
      <c r="I107" s="7">
        <v>41191</v>
      </c>
      <c r="J107" s="7">
        <v>41191</v>
      </c>
      <c r="K107" s="7">
        <v>41205</v>
      </c>
      <c r="L107" s="6">
        <v>-850.47</v>
      </c>
      <c r="U107" s="6">
        <v>-850.47</v>
      </c>
      <c r="V107" s="6">
        <f>+V106-Table_MAG_Ledger_Authorized[[#This Row],[Federal Amount]]</f>
        <v>88640843.124999985</v>
      </c>
      <c r="W107" s="6"/>
      <c r="Z107" s="5"/>
      <c r="AA107" s="109"/>
      <c r="AC107" s="18"/>
      <c r="AD107" s="11"/>
      <c r="AG107" s="7"/>
      <c r="AR107" s="6"/>
      <c r="BZ107" s="5"/>
      <c r="CF107" s="13"/>
    </row>
    <row r="108" spans="1:84" ht="30" x14ac:dyDescent="0.25">
      <c r="A108" s="5" t="s">
        <v>73</v>
      </c>
      <c r="C108" s="5" t="s">
        <v>240</v>
      </c>
      <c r="D108" s="5" t="s">
        <v>60</v>
      </c>
      <c r="E108" s="5" t="s">
        <v>241</v>
      </c>
      <c r="F108" s="5" t="s">
        <v>242</v>
      </c>
      <c r="G108" s="5" t="s">
        <v>224</v>
      </c>
      <c r="H108" s="5" t="s">
        <v>5</v>
      </c>
      <c r="I108" s="7">
        <v>41261</v>
      </c>
      <c r="J108" s="7">
        <v>41261</v>
      </c>
      <c r="K108" s="7">
        <v>41274</v>
      </c>
      <c r="L108" s="6">
        <v>-76</v>
      </c>
      <c r="R108" s="6">
        <v>0</v>
      </c>
      <c r="U108" s="6">
        <v>-76</v>
      </c>
      <c r="V108" s="6">
        <f>+V107-Table_MAG_Ledger_Authorized[[#This Row],[Federal Amount]]</f>
        <v>88640919.124999985</v>
      </c>
      <c r="W108" s="6"/>
      <c r="Z108" s="5"/>
      <c r="AA108" s="109"/>
      <c r="AC108" s="18"/>
      <c r="AD108" s="11"/>
      <c r="AG108" s="7"/>
      <c r="AR108" s="6"/>
      <c r="BZ108" s="5"/>
      <c r="CF108" s="13"/>
    </row>
    <row r="109" spans="1:84" ht="30" x14ac:dyDescent="0.25">
      <c r="A109" s="5" t="s">
        <v>73</v>
      </c>
      <c r="C109" s="5" t="s">
        <v>798</v>
      </c>
      <c r="D109" s="5" t="s">
        <v>60</v>
      </c>
      <c r="E109" s="5" t="s">
        <v>799</v>
      </c>
      <c r="F109" s="5" t="s">
        <v>800</v>
      </c>
      <c r="G109" s="5" t="s">
        <v>148</v>
      </c>
      <c r="H109" s="5" t="s">
        <v>5</v>
      </c>
      <c r="I109" s="7">
        <v>41523</v>
      </c>
      <c r="J109" s="7">
        <v>41523</v>
      </c>
      <c r="K109" s="7">
        <v>41528</v>
      </c>
      <c r="L109" s="6">
        <v>-315568.8</v>
      </c>
      <c r="U109" s="6">
        <v>-315568.8</v>
      </c>
      <c r="V109" s="6">
        <f>+V108-Table_MAG_Ledger_Authorized[[#This Row],[Federal Amount]]</f>
        <v>88956487.924999982</v>
      </c>
      <c r="W109" s="6"/>
      <c r="Z109" s="5"/>
      <c r="AA109" s="109"/>
      <c r="AC109" s="18"/>
      <c r="AD109" s="11"/>
      <c r="AG109" s="7"/>
      <c r="AR109" s="6"/>
      <c r="BZ109" s="5"/>
      <c r="CF109" s="13"/>
    </row>
    <row r="110" spans="1:84" x14ac:dyDescent="0.25">
      <c r="A110" s="5" t="s">
        <v>73</v>
      </c>
      <c r="C110" s="5" t="s">
        <v>243</v>
      </c>
      <c r="D110" s="5" t="s">
        <v>60</v>
      </c>
      <c r="E110" s="5" t="s">
        <v>244</v>
      </c>
      <c r="F110" s="5" t="s">
        <v>245</v>
      </c>
      <c r="G110" s="5" t="s">
        <v>103</v>
      </c>
      <c r="H110" s="5" t="s">
        <v>5</v>
      </c>
      <c r="I110" s="7">
        <v>41191</v>
      </c>
      <c r="J110" s="7">
        <v>41191</v>
      </c>
      <c r="K110" s="7">
        <v>41281</v>
      </c>
      <c r="L110" s="6">
        <v>-198989.48</v>
      </c>
      <c r="U110" s="6">
        <v>-198989.48</v>
      </c>
      <c r="V110" s="6">
        <f>+V109-Table_MAG_Ledger_Authorized[[#This Row],[Federal Amount]]</f>
        <v>89155477.404999986</v>
      </c>
      <c r="W110" s="6"/>
      <c r="Z110" s="5"/>
      <c r="AA110" s="109"/>
      <c r="AC110" s="18"/>
      <c r="AD110" s="11"/>
      <c r="AG110" s="7"/>
      <c r="AR110" s="6"/>
      <c r="BZ110" s="5"/>
      <c r="CF110" s="13"/>
    </row>
    <row r="111" spans="1:84" x14ac:dyDescent="0.25">
      <c r="A111" s="5" t="s">
        <v>73</v>
      </c>
      <c r="C111" s="5" t="s">
        <v>246</v>
      </c>
      <c r="D111" s="5" t="s">
        <v>60</v>
      </c>
      <c r="E111" s="5" t="s">
        <v>247</v>
      </c>
      <c r="F111" s="5" t="s">
        <v>248</v>
      </c>
      <c r="G111" s="5" t="s">
        <v>249</v>
      </c>
      <c r="H111" s="5" t="s">
        <v>5</v>
      </c>
      <c r="I111" s="7">
        <v>41191</v>
      </c>
      <c r="J111" s="7">
        <v>41191</v>
      </c>
      <c r="K111" s="7">
        <v>41205</v>
      </c>
      <c r="L111" s="6">
        <v>-98834.81</v>
      </c>
      <c r="U111" s="6">
        <v>-98834.81</v>
      </c>
      <c r="V111" s="6">
        <f>+V110-Table_MAG_Ledger_Authorized[[#This Row],[Federal Amount]]</f>
        <v>89254312.214999989</v>
      </c>
      <c r="W111" s="6"/>
      <c r="Z111" s="5"/>
      <c r="AA111" s="109"/>
      <c r="AC111" s="18"/>
      <c r="AD111" s="11"/>
      <c r="AG111" s="7"/>
      <c r="AR111" s="6"/>
      <c r="BZ111" s="5"/>
      <c r="CF111" s="13"/>
    </row>
    <row r="112" spans="1:84" x14ac:dyDescent="0.25">
      <c r="A112" s="5" t="s">
        <v>73</v>
      </c>
      <c r="C112" s="5" t="s">
        <v>250</v>
      </c>
      <c r="D112" s="5" t="s">
        <v>60</v>
      </c>
      <c r="E112" s="5" t="s">
        <v>251</v>
      </c>
      <c r="F112" s="5" t="s">
        <v>252</v>
      </c>
      <c r="G112" s="5" t="s">
        <v>249</v>
      </c>
      <c r="H112" s="5" t="s">
        <v>5</v>
      </c>
      <c r="I112" s="7">
        <v>41214</v>
      </c>
      <c r="J112" s="7">
        <v>41214</v>
      </c>
      <c r="K112" s="7">
        <v>41248</v>
      </c>
      <c r="L112" s="6">
        <v>-44825.81</v>
      </c>
      <c r="U112" s="6">
        <v>-44825.81</v>
      </c>
      <c r="V112" s="6">
        <f>+V111-Table_MAG_Ledger_Authorized[[#This Row],[Federal Amount]]</f>
        <v>89299138.024999991</v>
      </c>
      <c r="W112" s="6"/>
      <c r="Z112" s="5"/>
      <c r="AA112" s="109"/>
      <c r="AC112" s="18"/>
      <c r="AD112" s="11"/>
      <c r="AG112" s="7"/>
      <c r="AR112" s="6"/>
      <c r="BZ112" s="5"/>
      <c r="CF112" s="13"/>
    </row>
    <row r="113" spans="1:84" ht="45" x14ac:dyDescent="0.25">
      <c r="A113" s="5" t="s">
        <v>73</v>
      </c>
      <c r="C113" s="5" t="s">
        <v>339</v>
      </c>
      <c r="D113" s="5" t="s">
        <v>60</v>
      </c>
      <c r="E113" s="5" t="s">
        <v>340</v>
      </c>
      <c r="F113" s="5" t="s">
        <v>341</v>
      </c>
      <c r="G113" s="5" t="s">
        <v>152</v>
      </c>
      <c r="H113" s="5" t="s">
        <v>5</v>
      </c>
      <c r="I113" s="7">
        <v>41360</v>
      </c>
      <c r="J113" s="7">
        <v>41360</v>
      </c>
      <c r="K113" s="7">
        <v>41410</v>
      </c>
      <c r="L113" s="6">
        <v>-22836.89</v>
      </c>
      <c r="U113" s="6">
        <v>-22836.89</v>
      </c>
      <c r="V113" s="6">
        <f>+V112-Table_MAG_Ledger_Authorized[[#This Row],[Federal Amount]]</f>
        <v>89321974.914999992</v>
      </c>
      <c r="W113" s="6"/>
      <c r="Z113" s="5"/>
      <c r="AA113" s="109"/>
      <c r="AC113" s="18"/>
      <c r="AD113" s="11"/>
      <c r="AG113" s="7"/>
      <c r="AR113" s="6"/>
      <c r="BZ113" s="5"/>
      <c r="CF113" s="13"/>
    </row>
    <row r="114" spans="1:84" ht="30" x14ac:dyDescent="0.25">
      <c r="A114" s="5" t="s">
        <v>73</v>
      </c>
      <c r="C114" s="5" t="s">
        <v>613</v>
      </c>
      <c r="D114" s="5" t="s">
        <v>60</v>
      </c>
      <c r="E114" s="5" t="s">
        <v>614</v>
      </c>
      <c r="F114" s="5" t="s">
        <v>615</v>
      </c>
      <c r="G114" s="5" t="s">
        <v>121</v>
      </c>
      <c r="H114" s="5" t="s">
        <v>5</v>
      </c>
      <c r="I114" s="7">
        <v>41466</v>
      </c>
      <c r="J114" s="7">
        <v>41466</v>
      </c>
      <c r="K114" s="7">
        <v>41472</v>
      </c>
      <c r="L114" s="6">
        <v>-197571.13</v>
      </c>
      <c r="U114" s="6">
        <v>-197571.13</v>
      </c>
      <c r="V114" s="6">
        <f>+V113-Table_MAG_Ledger_Authorized[[#This Row],[Federal Amount]]</f>
        <v>89519546.044999987</v>
      </c>
      <c r="W114" s="6"/>
      <c r="Z114" s="5"/>
      <c r="AA114" s="109"/>
      <c r="AC114" s="18"/>
      <c r="AD114" s="11"/>
      <c r="AG114" s="7"/>
      <c r="AR114" s="6"/>
      <c r="BZ114" s="5"/>
      <c r="CF114" s="13"/>
    </row>
    <row r="115" spans="1:84" ht="30" x14ac:dyDescent="0.25">
      <c r="A115" s="5" t="s">
        <v>73</v>
      </c>
      <c r="C115" s="5" t="s">
        <v>801</v>
      </c>
      <c r="D115" s="5" t="s">
        <v>60</v>
      </c>
      <c r="E115" s="5" t="s">
        <v>802</v>
      </c>
      <c r="F115" s="5" t="s">
        <v>803</v>
      </c>
      <c r="G115" s="5" t="s">
        <v>121</v>
      </c>
      <c r="H115" s="5" t="s">
        <v>5</v>
      </c>
      <c r="I115" s="7">
        <v>41523</v>
      </c>
      <c r="J115" s="7">
        <v>41523</v>
      </c>
      <c r="K115" s="7">
        <v>41528</v>
      </c>
      <c r="L115" s="6">
        <v>-269672.21999999997</v>
      </c>
      <c r="U115" s="6">
        <v>-269672.21999999997</v>
      </c>
      <c r="V115" s="6">
        <f>+V114-Table_MAG_Ledger_Authorized[[#This Row],[Federal Amount]]</f>
        <v>89789218.264999986</v>
      </c>
      <c r="W115" s="6"/>
      <c r="Z115" s="5"/>
      <c r="AA115" s="109"/>
      <c r="AC115" s="18"/>
      <c r="AD115" s="11"/>
      <c r="AG115" s="7"/>
      <c r="AR115" s="6"/>
      <c r="BZ115" s="5"/>
      <c r="CF115" s="13"/>
    </row>
    <row r="116" spans="1:84" x14ac:dyDescent="0.25">
      <c r="A116" s="5" t="s">
        <v>73</v>
      </c>
      <c r="C116" s="5" t="s">
        <v>253</v>
      </c>
      <c r="D116" s="5" t="s">
        <v>60</v>
      </c>
      <c r="E116" s="5" t="s">
        <v>254</v>
      </c>
      <c r="F116" s="5" t="s">
        <v>245</v>
      </c>
      <c r="G116" s="5" t="s">
        <v>103</v>
      </c>
      <c r="H116" s="5" t="s">
        <v>5</v>
      </c>
      <c r="I116" s="7">
        <v>41214</v>
      </c>
      <c r="J116" s="7">
        <v>41214</v>
      </c>
      <c r="K116" s="7">
        <v>41320</v>
      </c>
      <c r="L116" s="6">
        <v>-510646.55</v>
      </c>
      <c r="U116" s="6">
        <v>-510646.55</v>
      </c>
      <c r="V116" s="6">
        <f>+V115-Table_MAG_Ledger_Authorized[[#This Row],[Federal Amount]]</f>
        <v>90299864.814999983</v>
      </c>
      <c r="W116" s="6"/>
      <c r="Z116" s="5"/>
      <c r="AA116" s="109"/>
      <c r="AC116" s="18"/>
      <c r="AD116" s="11"/>
      <c r="AG116" s="7"/>
      <c r="AR116" s="6"/>
      <c r="BZ116" s="5"/>
      <c r="CF116" s="13"/>
    </row>
    <row r="117" spans="1:84" ht="30" x14ac:dyDescent="0.25">
      <c r="A117" s="5" t="s">
        <v>73</v>
      </c>
      <c r="C117" s="5" t="s">
        <v>255</v>
      </c>
      <c r="D117" s="5" t="s">
        <v>60</v>
      </c>
      <c r="E117" s="5" t="s">
        <v>256</v>
      </c>
      <c r="F117" s="5" t="s">
        <v>257</v>
      </c>
      <c r="G117" s="5" t="s">
        <v>156</v>
      </c>
      <c r="H117" s="5" t="s">
        <v>5</v>
      </c>
      <c r="I117" s="7">
        <v>41334</v>
      </c>
      <c r="J117" s="7">
        <v>41334</v>
      </c>
      <c r="K117" s="7">
        <v>41362</v>
      </c>
      <c r="L117" s="6">
        <v>0</v>
      </c>
      <c r="U117" s="6">
        <v>0</v>
      </c>
      <c r="V117" s="6">
        <f>+V116-Table_MAG_Ledger_Authorized[[#This Row],[Federal Amount]]</f>
        <v>90299864.814999983</v>
      </c>
      <c r="W117" s="6"/>
      <c r="Z117" s="5"/>
      <c r="AA117" s="109"/>
      <c r="AC117" s="18"/>
      <c r="AD117" s="11"/>
      <c r="AG117" s="7"/>
      <c r="AR117" s="6"/>
      <c r="BZ117" s="5"/>
      <c r="CF117" s="13"/>
    </row>
    <row r="118" spans="1:84" ht="45" x14ac:dyDescent="0.25">
      <c r="A118" s="5" t="s">
        <v>73</v>
      </c>
      <c r="C118" s="5" t="s">
        <v>258</v>
      </c>
      <c r="D118" s="5" t="s">
        <v>60</v>
      </c>
      <c r="E118" s="5" t="s">
        <v>259</v>
      </c>
      <c r="F118" s="5" t="s">
        <v>260</v>
      </c>
      <c r="G118" s="5" t="s">
        <v>103</v>
      </c>
      <c r="H118" s="5" t="s">
        <v>5</v>
      </c>
      <c r="I118" s="7">
        <v>41274</v>
      </c>
      <c r="J118" s="7">
        <v>41274</v>
      </c>
      <c r="K118" s="7">
        <v>41281</v>
      </c>
      <c r="L118" s="6">
        <v>0</v>
      </c>
      <c r="U118" s="6">
        <v>0</v>
      </c>
      <c r="V118" s="6">
        <f>+V117-Table_MAG_Ledger_Authorized[[#This Row],[Federal Amount]]</f>
        <v>90299864.814999983</v>
      </c>
      <c r="W118" s="6"/>
      <c r="Z118" s="5"/>
      <c r="AA118" s="109"/>
      <c r="AC118" s="18"/>
      <c r="AD118" s="11"/>
      <c r="AG118" s="7"/>
      <c r="AR118" s="6"/>
      <c r="BZ118" s="5"/>
      <c r="CF118" s="13"/>
    </row>
    <row r="119" spans="1:84" ht="45" x14ac:dyDescent="0.25">
      <c r="A119" s="5" t="s">
        <v>73</v>
      </c>
      <c r="C119" s="5" t="s">
        <v>261</v>
      </c>
      <c r="D119" s="5" t="s">
        <v>60</v>
      </c>
      <c r="E119" s="5" t="s">
        <v>262</v>
      </c>
      <c r="F119" s="5" t="s">
        <v>263</v>
      </c>
      <c r="G119" s="5" t="s">
        <v>101</v>
      </c>
      <c r="H119" s="5" t="s">
        <v>24</v>
      </c>
      <c r="I119" s="7">
        <v>41394</v>
      </c>
      <c r="J119" s="7">
        <v>41400</v>
      </c>
      <c r="K119" s="7">
        <v>41407</v>
      </c>
      <c r="L119" s="6">
        <v>400000</v>
      </c>
      <c r="U119" s="6">
        <v>400000</v>
      </c>
      <c r="V119" s="6">
        <f>+V118-Table_MAG_Ledger_Authorized[[#This Row],[Federal Amount]]</f>
        <v>89899864.814999983</v>
      </c>
      <c r="W119" s="6"/>
      <c r="Z119" s="5"/>
      <c r="AA119" s="109"/>
      <c r="AC119" s="18"/>
      <c r="AD119" s="11"/>
      <c r="AG119" s="7"/>
      <c r="AR119" s="6"/>
      <c r="BZ119" s="5"/>
      <c r="CF119" s="13"/>
    </row>
    <row r="120" spans="1:84" ht="30" x14ac:dyDescent="0.25">
      <c r="A120" s="5" t="s">
        <v>73</v>
      </c>
      <c r="C120" s="5" t="s">
        <v>264</v>
      </c>
      <c r="D120" s="5" t="s">
        <v>60</v>
      </c>
      <c r="E120" s="5" t="s">
        <v>265</v>
      </c>
      <c r="F120" s="5" t="s">
        <v>266</v>
      </c>
      <c r="G120" s="5" t="s">
        <v>267</v>
      </c>
      <c r="H120" s="5" t="s">
        <v>5</v>
      </c>
      <c r="I120" s="7">
        <v>41360</v>
      </c>
      <c r="J120" s="7">
        <v>41360</v>
      </c>
      <c r="K120" s="7">
        <v>41373</v>
      </c>
      <c r="L120" s="6">
        <v>-4576.72</v>
      </c>
      <c r="U120" s="6">
        <v>-4576.72</v>
      </c>
      <c r="V120" s="6">
        <f>+V119-Table_MAG_Ledger_Authorized[[#This Row],[Federal Amount]]</f>
        <v>89904441.534999982</v>
      </c>
      <c r="W120" s="6"/>
      <c r="Z120" s="5"/>
      <c r="AA120" s="109"/>
      <c r="AC120" s="18"/>
      <c r="AD120" s="11"/>
      <c r="AG120" s="7"/>
      <c r="AR120" s="6"/>
      <c r="BZ120" s="5"/>
      <c r="CF120" s="13"/>
    </row>
    <row r="121" spans="1:84" ht="30" x14ac:dyDescent="0.25">
      <c r="A121" s="5" t="s">
        <v>73</v>
      </c>
      <c r="C121" s="5" t="s">
        <v>268</v>
      </c>
      <c r="D121" s="5" t="s">
        <v>60</v>
      </c>
      <c r="E121" s="5" t="s">
        <v>269</v>
      </c>
      <c r="F121" s="5" t="s">
        <v>270</v>
      </c>
      <c r="G121" s="5" t="s">
        <v>271</v>
      </c>
      <c r="H121" s="5" t="s">
        <v>23</v>
      </c>
      <c r="I121" s="7">
        <v>41250</v>
      </c>
      <c r="J121" s="7">
        <v>41256</v>
      </c>
      <c r="K121" s="7">
        <v>41262</v>
      </c>
      <c r="L121" s="6">
        <v>-148115</v>
      </c>
      <c r="U121" s="6">
        <v>-148115</v>
      </c>
      <c r="V121" s="6">
        <f>+V120-Table_MAG_Ledger_Authorized[[#This Row],[Federal Amount]]</f>
        <v>90052556.534999982</v>
      </c>
      <c r="W121" s="6"/>
      <c r="Z121" s="5"/>
      <c r="AA121" s="109"/>
      <c r="AC121" s="18"/>
      <c r="AD121" s="11"/>
      <c r="AG121" s="7"/>
      <c r="AR121" s="6"/>
      <c r="BZ121" s="5"/>
      <c r="CF121" s="13"/>
    </row>
    <row r="122" spans="1:84" ht="30" x14ac:dyDescent="0.25">
      <c r="A122" s="5" t="s">
        <v>73</v>
      </c>
      <c r="C122" s="5" t="s">
        <v>272</v>
      </c>
      <c r="D122" s="5" t="s">
        <v>60</v>
      </c>
      <c r="E122" s="5" t="s">
        <v>273</v>
      </c>
      <c r="F122" s="5" t="s">
        <v>274</v>
      </c>
      <c r="G122" s="5" t="s">
        <v>152</v>
      </c>
      <c r="H122" s="5" t="s">
        <v>23</v>
      </c>
      <c r="I122" s="7">
        <v>41250</v>
      </c>
      <c r="J122" s="7">
        <v>41254</v>
      </c>
      <c r="K122" s="7">
        <v>41256</v>
      </c>
      <c r="L122" s="6">
        <v>-386042</v>
      </c>
      <c r="U122" s="6">
        <v>-386042</v>
      </c>
      <c r="V122" s="6">
        <f>+V121-Table_MAG_Ledger_Authorized[[#This Row],[Federal Amount]]</f>
        <v>90438598.534999982</v>
      </c>
      <c r="W122" s="6"/>
      <c r="Z122" s="5"/>
      <c r="AA122" s="109"/>
      <c r="AC122" s="18"/>
      <c r="AD122" s="11"/>
      <c r="AG122" s="7"/>
      <c r="AR122" s="6"/>
      <c r="BZ122" s="5"/>
      <c r="CF122" s="13"/>
    </row>
    <row r="123" spans="1:84" ht="45" x14ac:dyDescent="0.25">
      <c r="A123" s="5" t="s">
        <v>73</v>
      </c>
      <c r="C123" s="5" t="s">
        <v>275</v>
      </c>
      <c r="D123" s="5" t="s">
        <v>60</v>
      </c>
      <c r="E123" s="5" t="s">
        <v>276</v>
      </c>
      <c r="F123" s="5" t="s">
        <v>277</v>
      </c>
      <c r="G123" s="5" t="s">
        <v>136</v>
      </c>
      <c r="H123" s="5" t="s">
        <v>23</v>
      </c>
      <c r="I123" s="7">
        <v>41226</v>
      </c>
      <c r="J123" s="7">
        <v>41228</v>
      </c>
      <c r="K123" s="7">
        <v>41240</v>
      </c>
      <c r="L123" s="6">
        <v>-110564</v>
      </c>
      <c r="U123" s="6">
        <v>-110564</v>
      </c>
      <c r="V123" s="6">
        <f>+V122-Table_MAG_Ledger_Authorized[[#This Row],[Federal Amount]]</f>
        <v>90549162.534999982</v>
      </c>
      <c r="W123" s="6"/>
      <c r="Z123" s="5"/>
      <c r="AA123" s="109"/>
      <c r="AC123" s="18"/>
      <c r="AD123" s="11"/>
      <c r="AG123" s="7"/>
      <c r="AR123" s="6"/>
      <c r="BZ123" s="5"/>
      <c r="CF123" s="13"/>
    </row>
    <row r="124" spans="1:84" ht="60" x14ac:dyDescent="0.25">
      <c r="A124" s="5" t="s">
        <v>73</v>
      </c>
      <c r="C124" s="5" t="s">
        <v>278</v>
      </c>
      <c r="D124" s="5" t="s">
        <v>60</v>
      </c>
      <c r="E124" s="5" t="s">
        <v>279</v>
      </c>
      <c r="F124" s="5" t="s">
        <v>280</v>
      </c>
      <c r="G124" s="5" t="s">
        <v>110</v>
      </c>
      <c r="H124" s="5" t="s">
        <v>4</v>
      </c>
      <c r="I124" s="7">
        <v>41312</v>
      </c>
      <c r="J124" s="7">
        <v>41313</v>
      </c>
      <c r="K124" s="7">
        <v>41317</v>
      </c>
      <c r="L124" s="6">
        <v>0</v>
      </c>
      <c r="U124" s="6">
        <v>0</v>
      </c>
      <c r="V124" s="6">
        <f>+V123-Table_MAG_Ledger_Authorized[[#This Row],[Federal Amount]]</f>
        <v>90549162.534999982</v>
      </c>
      <c r="W124" s="6"/>
      <c r="Z124" s="5"/>
      <c r="AA124" s="109"/>
      <c r="AC124" s="18"/>
      <c r="AD124" s="11"/>
      <c r="AG124" s="7"/>
      <c r="AR124" s="6"/>
      <c r="BZ124" s="5"/>
      <c r="CF124" s="13"/>
    </row>
    <row r="125" spans="1:84" ht="30" x14ac:dyDescent="0.25">
      <c r="A125" s="5" t="s">
        <v>73</v>
      </c>
      <c r="C125" s="5" t="s">
        <v>804</v>
      </c>
      <c r="D125" s="5" t="s">
        <v>60</v>
      </c>
      <c r="E125" s="5" t="s">
        <v>805</v>
      </c>
      <c r="F125" s="5" t="s">
        <v>806</v>
      </c>
      <c r="G125" s="5" t="s">
        <v>156</v>
      </c>
      <c r="H125" s="5" t="s">
        <v>23</v>
      </c>
      <c r="I125" s="7">
        <v>41508</v>
      </c>
      <c r="J125" s="7">
        <v>41522</v>
      </c>
      <c r="K125" s="7">
        <v>41527</v>
      </c>
      <c r="L125" s="6">
        <v>0</v>
      </c>
      <c r="U125" s="6">
        <v>0</v>
      </c>
      <c r="V125" s="6">
        <f>+V124-Table_MAG_Ledger_Authorized[[#This Row],[Federal Amount]]</f>
        <v>90549162.534999982</v>
      </c>
      <c r="W125" s="6"/>
      <c r="Z125" s="5"/>
      <c r="AA125" s="109"/>
      <c r="AC125" s="18"/>
      <c r="AD125" s="11"/>
      <c r="AG125" s="7"/>
      <c r="AR125" s="6"/>
      <c r="BZ125" s="5"/>
      <c r="CF125" s="13"/>
    </row>
    <row r="126" spans="1:84" ht="45" x14ac:dyDescent="0.25">
      <c r="A126" s="5" t="s">
        <v>73</v>
      </c>
      <c r="C126" s="5" t="s">
        <v>706</v>
      </c>
      <c r="D126" s="5" t="s">
        <v>60</v>
      </c>
      <c r="E126" s="5" t="s">
        <v>707</v>
      </c>
      <c r="F126" s="5" t="s">
        <v>708</v>
      </c>
      <c r="G126" s="5" t="s">
        <v>148</v>
      </c>
      <c r="H126" s="5" t="s">
        <v>5</v>
      </c>
      <c r="I126" s="7">
        <v>41480</v>
      </c>
      <c r="J126" s="7">
        <v>41480</v>
      </c>
      <c r="K126" s="7">
        <v>41513</v>
      </c>
      <c r="L126" s="6">
        <v>0</v>
      </c>
      <c r="U126" s="6">
        <v>0</v>
      </c>
      <c r="V126" s="6">
        <f>+V125-Table_MAG_Ledger_Authorized[[#This Row],[Federal Amount]]</f>
        <v>90549162.534999982</v>
      </c>
      <c r="W126" s="6"/>
      <c r="Z126" s="5"/>
      <c r="AA126" s="109"/>
      <c r="AC126" s="18"/>
      <c r="AD126" s="11"/>
      <c r="AG126" s="7"/>
      <c r="AR126" s="6"/>
      <c r="BZ126" s="5"/>
      <c r="CF126" s="13"/>
    </row>
    <row r="127" spans="1:84" ht="30" x14ac:dyDescent="0.25">
      <c r="A127" s="5" t="s">
        <v>73</v>
      </c>
      <c r="C127" s="5" t="s">
        <v>281</v>
      </c>
      <c r="D127" s="5" t="s">
        <v>60</v>
      </c>
      <c r="E127" s="5" t="s">
        <v>282</v>
      </c>
      <c r="F127" s="5" t="s">
        <v>283</v>
      </c>
      <c r="G127" s="5" t="s">
        <v>143</v>
      </c>
      <c r="H127" s="5" t="s">
        <v>23</v>
      </c>
      <c r="I127" s="7">
        <v>41250</v>
      </c>
      <c r="J127" s="7">
        <v>41254</v>
      </c>
      <c r="K127" s="7">
        <v>41256</v>
      </c>
      <c r="L127" s="6">
        <v>-28434</v>
      </c>
      <c r="U127" s="6">
        <v>-28434</v>
      </c>
      <c r="V127" s="6">
        <f>+V126-Table_MAG_Ledger_Authorized[[#This Row],[Federal Amount]]</f>
        <v>90577596.534999982</v>
      </c>
      <c r="W127" s="6"/>
      <c r="Z127" s="5"/>
      <c r="AA127" s="109"/>
      <c r="AC127" s="18"/>
      <c r="AD127" s="11"/>
      <c r="AG127" s="7"/>
      <c r="AR127" s="6"/>
      <c r="BZ127" s="5"/>
      <c r="CF127" s="13"/>
    </row>
    <row r="128" spans="1:84" x14ac:dyDescent="0.25">
      <c r="A128" s="5" t="s">
        <v>73</v>
      </c>
      <c r="C128" s="5" t="s">
        <v>709</v>
      </c>
      <c r="D128" s="5" t="s">
        <v>710</v>
      </c>
      <c r="E128" s="5" t="s">
        <v>711</v>
      </c>
      <c r="F128" s="5" t="s">
        <v>712</v>
      </c>
      <c r="G128" s="5" t="s">
        <v>73</v>
      </c>
      <c r="H128" s="5" t="s">
        <v>713</v>
      </c>
      <c r="I128" s="7">
        <v>41505</v>
      </c>
      <c r="J128" s="7">
        <v>41505</v>
      </c>
      <c r="K128" s="7">
        <v>41508</v>
      </c>
      <c r="L128" s="6">
        <v>12023000</v>
      </c>
      <c r="U128" s="6">
        <v>12023000</v>
      </c>
      <c r="V128" s="6">
        <f>+V127-Table_MAG_Ledger_Authorized[[#This Row],[Federal Amount]]</f>
        <v>78554596.534999982</v>
      </c>
      <c r="W128" s="6"/>
      <c r="Z128" s="5"/>
      <c r="AA128" s="109"/>
      <c r="AC128" s="18"/>
      <c r="AD128" s="11"/>
      <c r="AG128" s="7"/>
      <c r="AR128" s="6"/>
      <c r="BZ128" s="5"/>
      <c r="CF128" s="13"/>
    </row>
    <row r="129" spans="1:84" x14ac:dyDescent="0.25">
      <c r="A129" s="5" t="s">
        <v>73</v>
      </c>
      <c r="C129" s="5" t="s">
        <v>709</v>
      </c>
      <c r="D129" s="5" t="s">
        <v>710</v>
      </c>
      <c r="E129" s="5" t="s">
        <v>711</v>
      </c>
      <c r="F129" s="5" t="s">
        <v>712</v>
      </c>
      <c r="G129" s="5" t="s">
        <v>73</v>
      </c>
      <c r="H129" s="5" t="s">
        <v>713</v>
      </c>
      <c r="I129" s="7">
        <v>41507</v>
      </c>
      <c r="J129" s="7">
        <v>41507</v>
      </c>
      <c r="K129" s="7">
        <v>41508</v>
      </c>
      <c r="L129" s="6">
        <v>9208358</v>
      </c>
      <c r="U129" s="6">
        <v>9208358</v>
      </c>
      <c r="V129" s="6">
        <f>+V128-Table_MAG_Ledger_Authorized[[#This Row],[Federal Amount]]</f>
        <v>69346238.534999982</v>
      </c>
      <c r="W129" s="6"/>
      <c r="Z129" s="5"/>
      <c r="AA129" s="109"/>
      <c r="AC129" s="18"/>
      <c r="AD129" s="11"/>
      <c r="AG129" s="7"/>
      <c r="AR129" s="6"/>
      <c r="BZ129" s="5"/>
      <c r="CF129" s="13"/>
    </row>
    <row r="130" spans="1:84" ht="45" x14ac:dyDescent="0.25">
      <c r="A130" s="5" t="s">
        <v>73</v>
      </c>
      <c r="B130" s="5" t="s">
        <v>714</v>
      </c>
      <c r="C130" s="5" t="s">
        <v>715</v>
      </c>
      <c r="D130" s="5" t="s">
        <v>689</v>
      </c>
      <c r="E130" s="5" t="s">
        <v>716</v>
      </c>
      <c r="F130" s="5" t="s">
        <v>717</v>
      </c>
      <c r="G130" s="5" t="s">
        <v>73</v>
      </c>
      <c r="H130" s="5" t="s">
        <v>3</v>
      </c>
      <c r="I130" s="7">
        <v>41474</v>
      </c>
      <c r="J130" s="7">
        <v>41487</v>
      </c>
      <c r="K130" s="7">
        <v>41497</v>
      </c>
      <c r="L130" s="6">
        <v>660100</v>
      </c>
      <c r="U130" s="6">
        <v>660100</v>
      </c>
      <c r="V130" s="6">
        <f>+V129-Table_MAG_Ledger_Authorized[[#This Row],[Federal Amount]]</f>
        <v>68686138.534999982</v>
      </c>
      <c r="W130" s="6"/>
      <c r="Z130" s="5"/>
      <c r="AA130" s="109"/>
      <c r="AC130" s="18"/>
      <c r="AD130" s="11"/>
      <c r="AG130" s="7"/>
      <c r="AR130" s="6"/>
      <c r="BZ130" s="5"/>
      <c r="CF130" s="13"/>
    </row>
    <row r="131" spans="1:84" ht="30" x14ac:dyDescent="0.25">
      <c r="A131" s="5" t="s">
        <v>73</v>
      </c>
      <c r="B131" s="5" t="s">
        <v>718</v>
      </c>
      <c r="C131" s="5" t="s">
        <v>719</v>
      </c>
      <c r="D131" s="5" t="s">
        <v>689</v>
      </c>
      <c r="E131" s="5" t="s">
        <v>720</v>
      </c>
      <c r="F131" s="5" t="s">
        <v>721</v>
      </c>
      <c r="G131" s="5" t="s">
        <v>73</v>
      </c>
      <c r="H131" s="5" t="s">
        <v>3</v>
      </c>
      <c r="I131" s="7">
        <v>41474</v>
      </c>
      <c r="J131" s="7">
        <v>41487</v>
      </c>
      <c r="K131" s="7">
        <v>41497</v>
      </c>
      <c r="L131" s="6">
        <v>377200</v>
      </c>
      <c r="U131" s="6">
        <v>377200</v>
      </c>
      <c r="V131" s="6">
        <f>+V130-Table_MAG_Ledger_Authorized[[#This Row],[Federal Amount]]</f>
        <v>68308938.534999982</v>
      </c>
      <c r="W131" s="6"/>
      <c r="Z131" s="5"/>
      <c r="AA131" s="109"/>
      <c r="AC131" s="18"/>
      <c r="AD131" s="11"/>
      <c r="AG131" s="7"/>
      <c r="AR131" s="6"/>
      <c r="BZ131" s="5"/>
      <c r="CF131" s="13"/>
    </row>
    <row r="132" spans="1:84" ht="30" x14ac:dyDescent="0.25">
      <c r="A132" s="5" t="s">
        <v>73</v>
      </c>
      <c r="B132" s="5" t="s">
        <v>702</v>
      </c>
      <c r="C132" s="5" t="s">
        <v>703</v>
      </c>
      <c r="D132" s="5" t="s">
        <v>60</v>
      </c>
      <c r="E132" s="5" t="s">
        <v>704</v>
      </c>
      <c r="F132" s="5" t="s">
        <v>274</v>
      </c>
      <c r="G132" s="5" t="s">
        <v>73</v>
      </c>
      <c r="H132" s="5" t="s">
        <v>23</v>
      </c>
      <c r="I132" s="7">
        <v>41437</v>
      </c>
      <c r="J132" s="7">
        <v>41438</v>
      </c>
      <c r="K132" s="7">
        <v>41443</v>
      </c>
      <c r="L132" s="6">
        <v>-486727</v>
      </c>
      <c r="U132" s="6">
        <v>-486727</v>
      </c>
      <c r="V132" s="6">
        <f>+V131-Table_MAG_Ledger_Authorized[[#This Row],[Federal Amount]]</f>
        <v>68795665.534999982</v>
      </c>
      <c r="W132" s="6"/>
      <c r="Z132" s="5"/>
      <c r="AA132" s="109"/>
      <c r="AC132" s="18"/>
      <c r="AD132" s="11"/>
      <c r="AG132" s="7"/>
      <c r="AR132" s="6"/>
      <c r="BZ132" s="5"/>
      <c r="CF132" s="13"/>
    </row>
    <row r="133" spans="1:84" ht="30" x14ac:dyDescent="0.25">
      <c r="A133" s="5" t="s">
        <v>73</v>
      </c>
      <c r="B133" s="5" t="s">
        <v>780</v>
      </c>
      <c r="C133" s="5" t="s">
        <v>781</v>
      </c>
      <c r="D133" s="5" t="s">
        <v>60</v>
      </c>
      <c r="E133" s="5" t="s">
        <v>782</v>
      </c>
      <c r="F133" s="5" t="s">
        <v>783</v>
      </c>
      <c r="G133" s="5" t="s">
        <v>73</v>
      </c>
      <c r="H133" s="5" t="s">
        <v>4</v>
      </c>
      <c r="I133" s="7">
        <v>41534</v>
      </c>
      <c r="J133" s="7">
        <v>41535</v>
      </c>
      <c r="K133" s="7">
        <v>41540</v>
      </c>
      <c r="L133" s="6">
        <v>0.03</v>
      </c>
      <c r="U133" s="6">
        <v>0.03</v>
      </c>
      <c r="V133" s="6">
        <f>+V132-Table_MAG_Ledger_Authorized[[#This Row],[Federal Amount]]</f>
        <v>68795665.50499998</v>
      </c>
      <c r="W133" s="6"/>
      <c r="Z133" s="5"/>
      <c r="AA133" s="109"/>
      <c r="AC133" s="18"/>
      <c r="AD133" s="11"/>
      <c r="AG133" s="7"/>
      <c r="AR133" s="6"/>
      <c r="BZ133" s="5"/>
      <c r="CF133" s="13"/>
    </row>
    <row r="134" spans="1:84" ht="30" x14ac:dyDescent="0.25">
      <c r="A134" s="5" t="s">
        <v>73</v>
      </c>
      <c r="B134" s="5" t="s">
        <v>780</v>
      </c>
      <c r="C134" s="5" t="s">
        <v>781</v>
      </c>
      <c r="D134" s="5" t="s">
        <v>60</v>
      </c>
      <c r="E134" s="5" t="s">
        <v>782</v>
      </c>
      <c r="F134" s="5" t="s">
        <v>783</v>
      </c>
      <c r="G134" s="5" t="s">
        <v>73</v>
      </c>
      <c r="H134" s="5" t="s">
        <v>3</v>
      </c>
      <c r="I134" s="7">
        <v>41499</v>
      </c>
      <c r="J134" s="7">
        <v>41500</v>
      </c>
      <c r="K134" s="7">
        <v>41507</v>
      </c>
      <c r="L134" s="6">
        <v>314093.7</v>
      </c>
      <c r="U134" s="6">
        <v>314093.7</v>
      </c>
      <c r="V134" s="6">
        <f>+V133-Table_MAG_Ledger_Authorized[[#This Row],[Federal Amount]]</f>
        <v>68481571.804999977</v>
      </c>
      <c r="W134" s="6"/>
      <c r="Z134" s="5"/>
      <c r="AA134" s="109"/>
      <c r="AC134" s="18"/>
      <c r="AD134" s="11"/>
      <c r="AG134" s="7"/>
      <c r="AR134" s="6"/>
      <c r="BZ134" s="5"/>
      <c r="CF134" s="13"/>
    </row>
    <row r="135" spans="1:84" ht="30" x14ac:dyDescent="0.25">
      <c r="A135" s="5" t="s">
        <v>73</v>
      </c>
      <c r="B135" s="5" t="s">
        <v>705</v>
      </c>
      <c r="C135" s="5" t="s">
        <v>674</v>
      </c>
      <c r="D135" s="5" t="s">
        <v>60</v>
      </c>
      <c r="E135" s="5" t="s">
        <v>675</v>
      </c>
      <c r="F135" s="5" t="s">
        <v>676</v>
      </c>
      <c r="G135" s="5" t="s">
        <v>73</v>
      </c>
      <c r="H135" s="5" t="s">
        <v>4</v>
      </c>
      <c r="I135" s="7">
        <v>41351</v>
      </c>
      <c r="J135" s="7">
        <v>41353</v>
      </c>
      <c r="K135" s="7">
        <v>41355</v>
      </c>
      <c r="L135" s="6">
        <v>4715</v>
      </c>
      <c r="U135" s="6">
        <v>4715</v>
      </c>
      <c r="V135" s="6">
        <f>+V134-Table_MAG_Ledger_Authorized[[#This Row],[Federal Amount]]</f>
        <v>68476856.804999977</v>
      </c>
      <c r="W135" s="6"/>
      <c r="Z135" s="5"/>
      <c r="AA135" s="109"/>
      <c r="AC135" s="18"/>
      <c r="AD135" s="11"/>
      <c r="AG135" s="7"/>
      <c r="AR135" s="6"/>
      <c r="BZ135" s="5"/>
      <c r="CF135" s="13"/>
    </row>
    <row r="136" spans="1:84" ht="30" x14ac:dyDescent="0.25">
      <c r="A136" s="5" t="s">
        <v>73</v>
      </c>
      <c r="B136" s="5" t="s">
        <v>284</v>
      </c>
      <c r="C136" s="5" t="s">
        <v>499</v>
      </c>
      <c r="D136" s="5" t="s">
        <v>60</v>
      </c>
      <c r="E136" s="5" t="s">
        <v>500</v>
      </c>
      <c r="F136" s="5" t="s">
        <v>501</v>
      </c>
      <c r="G136" s="5" t="s">
        <v>101</v>
      </c>
      <c r="H136" s="5" t="s">
        <v>23</v>
      </c>
      <c r="I136" s="7">
        <v>41409</v>
      </c>
      <c r="J136" s="7">
        <v>41425</v>
      </c>
      <c r="K136" s="7">
        <v>41429</v>
      </c>
      <c r="N136" s="6">
        <v>-18242</v>
      </c>
      <c r="U136" s="6">
        <v>-18242</v>
      </c>
      <c r="V136" s="6">
        <f>+V135-Table_MAG_Ledger_Authorized[[#This Row],[Federal Amount]]</f>
        <v>68495098.804999977</v>
      </c>
      <c r="W136" s="6"/>
      <c r="Z136" s="5"/>
      <c r="AA136" s="109"/>
      <c r="AC136" s="18"/>
      <c r="AD136" s="11"/>
      <c r="AG136" s="7"/>
      <c r="AR136" s="6"/>
      <c r="BZ136" s="5"/>
      <c r="CF136" s="13"/>
    </row>
    <row r="137" spans="1:84" ht="30" x14ac:dyDescent="0.25">
      <c r="A137" s="5" t="s">
        <v>73</v>
      </c>
      <c r="B137" s="5" t="s">
        <v>284</v>
      </c>
      <c r="C137" s="5" t="s">
        <v>502</v>
      </c>
      <c r="D137" s="5" t="s">
        <v>60</v>
      </c>
      <c r="E137" s="5" t="s">
        <v>503</v>
      </c>
      <c r="F137" s="5" t="s">
        <v>504</v>
      </c>
      <c r="G137" s="5" t="s">
        <v>125</v>
      </c>
      <c r="H137" s="5" t="s">
        <v>23</v>
      </c>
      <c r="I137" s="7">
        <v>41409</v>
      </c>
      <c r="J137" s="7">
        <v>41425</v>
      </c>
      <c r="K137" s="7">
        <v>41429</v>
      </c>
      <c r="N137" s="6">
        <v>-7577</v>
      </c>
      <c r="U137" s="6">
        <v>-7577</v>
      </c>
      <c r="V137" s="6">
        <f>+V136-Table_MAG_Ledger_Authorized[[#This Row],[Federal Amount]]</f>
        <v>68502675.804999977</v>
      </c>
      <c r="W137" s="6"/>
      <c r="Z137" s="5"/>
      <c r="AA137" s="109"/>
      <c r="AC137" s="18"/>
      <c r="AD137" s="11"/>
      <c r="AG137" s="7"/>
      <c r="AR137" s="6"/>
      <c r="BZ137" s="5"/>
      <c r="CF137" s="13"/>
    </row>
    <row r="138" spans="1:84" ht="45" x14ac:dyDescent="0.25">
      <c r="A138" s="5" t="s">
        <v>73</v>
      </c>
      <c r="B138" s="5" t="s">
        <v>284</v>
      </c>
      <c r="C138" s="5" t="s">
        <v>508</v>
      </c>
      <c r="D138" s="5" t="s">
        <v>60</v>
      </c>
      <c r="E138" s="5" t="s">
        <v>509</v>
      </c>
      <c r="F138" s="5" t="s">
        <v>510</v>
      </c>
      <c r="G138" s="5" t="s">
        <v>110</v>
      </c>
      <c r="H138" s="5" t="s">
        <v>4</v>
      </c>
      <c r="I138" s="7">
        <v>41425</v>
      </c>
      <c r="J138" s="7">
        <v>41446</v>
      </c>
      <c r="K138" s="7">
        <v>41452</v>
      </c>
      <c r="N138" s="6">
        <v>-36960</v>
      </c>
      <c r="U138" s="6">
        <v>-36960</v>
      </c>
      <c r="V138" s="6">
        <f>+V137-Table_MAG_Ledger_Authorized[[#This Row],[Federal Amount]]</f>
        <v>68539635.804999977</v>
      </c>
      <c r="W138" s="6"/>
      <c r="Z138" s="5"/>
      <c r="AA138" s="109"/>
      <c r="AC138" s="18"/>
      <c r="AD138" s="11"/>
      <c r="AG138" s="7"/>
      <c r="AR138" s="6"/>
      <c r="BZ138" s="5"/>
      <c r="CF138" s="13"/>
    </row>
    <row r="139" spans="1:84" ht="30" x14ac:dyDescent="0.25">
      <c r="A139" s="5" t="s">
        <v>73</v>
      </c>
      <c r="B139" s="5" t="s">
        <v>284</v>
      </c>
      <c r="C139" s="5" t="s">
        <v>511</v>
      </c>
      <c r="D139" s="5" t="s">
        <v>60</v>
      </c>
      <c r="E139" s="5" t="s">
        <v>512</v>
      </c>
      <c r="F139" s="5" t="s">
        <v>513</v>
      </c>
      <c r="G139" s="5" t="s">
        <v>110</v>
      </c>
      <c r="H139" s="5" t="s">
        <v>4</v>
      </c>
      <c r="I139" s="7">
        <v>41425</v>
      </c>
      <c r="J139" s="7">
        <v>41446</v>
      </c>
      <c r="K139" s="7">
        <v>41453</v>
      </c>
      <c r="N139" s="6">
        <v>-57600</v>
      </c>
      <c r="U139" s="6">
        <v>-57600</v>
      </c>
      <c r="V139" s="6">
        <f>+V138-Table_MAG_Ledger_Authorized[[#This Row],[Federal Amount]]</f>
        <v>68597235.804999977</v>
      </c>
      <c r="W139" s="6"/>
      <c r="Z139" s="5"/>
      <c r="AA139" s="109"/>
      <c r="AC139" s="18"/>
      <c r="AD139" s="11"/>
      <c r="AG139" s="7"/>
      <c r="AR139" s="6"/>
      <c r="BZ139" s="5"/>
      <c r="CF139" s="13"/>
    </row>
    <row r="140" spans="1:84" ht="45" x14ac:dyDescent="0.25">
      <c r="A140" s="5" t="s">
        <v>73</v>
      </c>
      <c r="B140" s="5" t="s">
        <v>284</v>
      </c>
      <c r="C140" s="5" t="s">
        <v>285</v>
      </c>
      <c r="D140" s="5" t="s">
        <v>60</v>
      </c>
      <c r="E140" s="5" t="s">
        <v>286</v>
      </c>
      <c r="F140" s="5" t="s">
        <v>287</v>
      </c>
      <c r="G140" s="5" t="s">
        <v>114</v>
      </c>
      <c r="H140" s="5" t="s">
        <v>23</v>
      </c>
      <c r="I140" s="7">
        <v>41400</v>
      </c>
      <c r="J140" s="7">
        <v>41401</v>
      </c>
      <c r="K140" s="7">
        <v>41403</v>
      </c>
      <c r="N140" s="6">
        <v>-49132</v>
      </c>
      <c r="U140" s="6">
        <v>-49132</v>
      </c>
      <c r="V140" s="6">
        <f>+V139-Table_MAG_Ledger_Authorized[[#This Row],[Federal Amount]]</f>
        <v>68646367.804999977</v>
      </c>
      <c r="W140" s="6"/>
      <c r="Z140" s="5"/>
      <c r="AA140" s="109"/>
      <c r="AC140" s="18"/>
      <c r="AD140" s="11"/>
      <c r="AG140" s="7"/>
      <c r="AR140" s="6"/>
      <c r="BZ140" s="5"/>
      <c r="CF140" s="13"/>
    </row>
    <row r="141" spans="1:84" ht="45" x14ac:dyDescent="0.25">
      <c r="A141" s="5" t="s">
        <v>73</v>
      </c>
      <c r="B141" s="5" t="s">
        <v>284</v>
      </c>
      <c r="C141" s="5" t="s">
        <v>288</v>
      </c>
      <c r="D141" s="5" t="s">
        <v>60</v>
      </c>
      <c r="E141" s="5" t="s">
        <v>289</v>
      </c>
      <c r="F141" s="5" t="s">
        <v>290</v>
      </c>
      <c r="G141" s="5" t="s">
        <v>143</v>
      </c>
      <c r="H141" s="5" t="s">
        <v>23</v>
      </c>
      <c r="I141" s="7">
        <v>41400</v>
      </c>
      <c r="J141" s="7">
        <v>41401</v>
      </c>
      <c r="K141" s="7">
        <v>41403</v>
      </c>
      <c r="N141" s="6">
        <v>-14005</v>
      </c>
      <c r="U141" s="6">
        <v>-14005</v>
      </c>
      <c r="V141" s="6">
        <f>+V140-Table_MAG_Ledger_Authorized[[#This Row],[Federal Amount]]</f>
        <v>68660372.804999977</v>
      </c>
      <c r="W141" s="6"/>
      <c r="Z141" s="5"/>
      <c r="AA141" s="109"/>
      <c r="AC141" s="18"/>
      <c r="AD141" s="11"/>
      <c r="AG141" s="7"/>
      <c r="AR141" s="6"/>
      <c r="BZ141" s="5"/>
      <c r="CF141" s="13"/>
    </row>
    <row r="142" spans="1:84" ht="30" x14ac:dyDescent="0.25">
      <c r="A142" s="5" t="s">
        <v>73</v>
      </c>
      <c r="B142" s="5" t="s">
        <v>65</v>
      </c>
      <c r="C142" s="5" t="s">
        <v>107</v>
      </c>
      <c r="D142" s="5" t="s">
        <v>60</v>
      </c>
      <c r="E142" s="5" t="s">
        <v>108</v>
      </c>
      <c r="F142" s="5" t="s">
        <v>109</v>
      </c>
      <c r="G142" s="5" t="s">
        <v>110</v>
      </c>
      <c r="H142" s="5" t="s">
        <v>4</v>
      </c>
      <c r="I142" s="7">
        <v>41407</v>
      </c>
      <c r="J142" s="7">
        <v>41425</v>
      </c>
      <c r="K142" s="7">
        <v>41429</v>
      </c>
      <c r="N142" s="6">
        <v>76000</v>
      </c>
      <c r="U142" s="6">
        <v>76000</v>
      </c>
      <c r="V142" s="6">
        <f>+V141-Table_MAG_Ledger_Authorized[[#This Row],[Federal Amount]]</f>
        <v>68584372.804999977</v>
      </c>
      <c r="W142" s="6"/>
      <c r="Z142" s="5"/>
      <c r="AA142" s="109"/>
      <c r="AC142" s="18"/>
      <c r="AD142" s="11"/>
      <c r="AG142" s="7"/>
      <c r="AR142" s="6"/>
      <c r="BZ142" s="5"/>
      <c r="CF142" s="13"/>
    </row>
    <row r="143" spans="1:84" ht="45" x14ac:dyDescent="0.25">
      <c r="A143" s="5" t="s">
        <v>73</v>
      </c>
      <c r="B143" s="5" t="s">
        <v>291</v>
      </c>
      <c r="C143" s="5" t="s">
        <v>292</v>
      </c>
      <c r="D143" s="5" t="s">
        <v>61</v>
      </c>
      <c r="E143" s="5" t="s">
        <v>293</v>
      </c>
      <c r="F143" s="5" t="s">
        <v>294</v>
      </c>
      <c r="G143" s="5" t="s">
        <v>148</v>
      </c>
      <c r="H143" s="5" t="s">
        <v>3</v>
      </c>
      <c r="I143" s="7">
        <v>41372</v>
      </c>
      <c r="J143" s="7">
        <v>41381</v>
      </c>
      <c r="K143" s="7">
        <v>41401</v>
      </c>
      <c r="N143" s="6">
        <v>565800</v>
      </c>
      <c r="U143" s="6">
        <v>565800</v>
      </c>
      <c r="V143" s="6">
        <f>+V142-Table_MAG_Ledger_Authorized[[#This Row],[Federal Amount]]</f>
        <v>68018572.804999977</v>
      </c>
      <c r="W143" s="6"/>
      <c r="Z143" s="5"/>
      <c r="AA143" s="109"/>
      <c r="AC143" s="18"/>
      <c r="AD143" s="11"/>
      <c r="AG143" s="7"/>
      <c r="AR143" s="6"/>
      <c r="BZ143" s="5"/>
      <c r="CF143" s="13"/>
    </row>
    <row r="144" spans="1:84" x14ac:dyDescent="0.25">
      <c r="A144" s="5" t="s">
        <v>73</v>
      </c>
      <c r="B144" s="5" t="s">
        <v>722</v>
      </c>
      <c r="C144" s="5" t="s">
        <v>91</v>
      </c>
      <c r="D144" s="5" t="s">
        <v>617</v>
      </c>
      <c r="E144" s="5" t="s">
        <v>618</v>
      </c>
      <c r="F144" s="5" t="s">
        <v>757</v>
      </c>
      <c r="G144" s="5" t="s">
        <v>73</v>
      </c>
      <c r="H144" s="5" t="s">
        <v>3</v>
      </c>
      <c r="I144" s="7">
        <v>41485</v>
      </c>
      <c r="J144" s="7">
        <v>41486</v>
      </c>
      <c r="K144" s="7">
        <v>41499</v>
      </c>
      <c r="P144" s="6">
        <v>1250000</v>
      </c>
      <c r="U144" s="6">
        <v>1250000</v>
      </c>
      <c r="V144" s="6">
        <f>+V143-Table_MAG_Ledger_Authorized[[#This Row],[Federal Amount]]</f>
        <v>66768572.804999977</v>
      </c>
      <c r="W144" s="6"/>
      <c r="Z144" s="5"/>
      <c r="AA144" s="109"/>
      <c r="AC144" s="18"/>
      <c r="AD144" s="11"/>
      <c r="AG144" s="7"/>
      <c r="AR144" s="6"/>
      <c r="BZ144" s="5"/>
      <c r="CF144" s="13"/>
    </row>
    <row r="145" spans="1:84" ht="30" x14ac:dyDescent="0.25">
      <c r="A145" s="5" t="s">
        <v>73</v>
      </c>
      <c r="B145" s="5" t="s">
        <v>342</v>
      </c>
      <c r="C145" s="5" t="s">
        <v>343</v>
      </c>
      <c r="D145" s="5" t="s">
        <v>60</v>
      </c>
      <c r="E145" s="5" t="s">
        <v>344</v>
      </c>
      <c r="F145" s="5" t="s">
        <v>345</v>
      </c>
      <c r="G145" s="5" t="s">
        <v>148</v>
      </c>
      <c r="H145" s="5" t="s">
        <v>23</v>
      </c>
      <c r="I145" s="7">
        <v>41409</v>
      </c>
      <c r="J145" s="7">
        <v>41410</v>
      </c>
      <c r="K145" s="7">
        <v>41417</v>
      </c>
      <c r="N145" s="6">
        <v>-58464</v>
      </c>
      <c r="U145" s="6">
        <v>-58464</v>
      </c>
      <c r="V145" s="6">
        <f>+V144-Table_MAG_Ledger_Authorized[[#This Row],[Federal Amount]]</f>
        <v>66827036.804999977</v>
      </c>
      <c r="W145" s="74"/>
      <c r="Z145" s="5"/>
      <c r="AA145" s="109"/>
      <c r="AC145" s="18"/>
      <c r="AD145" s="75"/>
      <c r="AG145" s="7"/>
      <c r="AR145" s="6"/>
      <c r="BZ145" s="5"/>
      <c r="CF145" s="13"/>
    </row>
    <row r="146" spans="1:84" ht="45" x14ac:dyDescent="0.25">
      <c r="A146" s="80" t="s">
        <v>73</v>
      </c>
      <c r="B146" s="80" t="s">
        <v>346</v>
      </c>
      <c r="C146" s="80" t="s">
        <v>347</v>
      </c>
      <c r="D146" s="80" t="s">
        <v>60</v>
      </c>
      <c r="E146" s="80" t="s">
        <v>348</v>
      </c>
      <c r="F146" s="80" t="s">
        <v>349</v>
      </c>
      <c r="G146" s="80" t="s">
        <v>214</v>
      </c>
      <c r="H146" s="80" t="s">
        <v>3</v>
      </c>
      <c r="I146" s="81">
        <v>41451</v>
      </c>
      <c r="J146" s="81">
        <v>41452</v>
      </c>
      <c r="K146" s="81">
        <v>41453</v>
      </c>
      <c r="L146" s="82">
        <v>839429</v>
      </c>
      <c r="M146" s="82"/>
      <c r="N146" s="82"/>
      <c r="O146" s="82"/>
      <c r="P146" s="82"/>
      <c r="Q146" s="82"/>
      <c r="R146" s="82"/>
      <c r="S146" s="82"/>
      <c r="T146" s="82"/>
      <c r="U146" s="82">
        <v>839429</v>
      </c>
      <c r="V146" s="6">
        <f>+V145-Table_MAG_Ledger_Authorized[[#This Row],[Federal Amount]]</f>
        <v>65987607.804999977</v>
      </c>
      <c r="W146" s="6"/>
      <c r="Z146" s="5"/>
      <c r="AA146" s="109"/>
      <c r="AC146" s="18"/>
      <c r="AD146" s="75"/>
      <c r="AG146" s="7"/>
      <c r="AR146" s="6"/>
      <c r="BZ146" s="5"/>
      <c r="CF146" s="13"/>
    </row>
    <row r="147" spans="1:84" x14ac:dyDescent="0.25">
      <c r="A147" s="80" t="s">
        <v>73</v>
      </c>
      <c r="B147" s="80" t="s">
        <v>533</v>
      </c>
      <c r="C147" s="80" t="s">
        <v>534</v>
      </c>
      <c r="D147" s="80" t="s">
        <v>62</v>
      </c>
      <c r="E147" s="80" t="s">
        <v>619</v>
      </c>
      <c r="F147" s="80" t="s">
        <v>535</v>
      </c>
      <c r="G147" s="80" t="s">
        <v>214</v>
      </c>
      <c r="H147" s="80" t="s">
        <v>3</v>
      </c>
      <c r="I147" s="81">
        <v>41446</v>
      </c>
      <c r="J147" s="81">
        <v>41522</v>
      </c>
      <c r="K147" s="81">
        <v>41530</v>
      </c>
      <c r="L147" s="82">
        <v>217000</v>
      </c>
      <c r="M147" s="82"/>
      <c r="N147" s="82"/>
      <c r="O147" s="82"/>
      <c r="P147" s="82"/>
      <c r="Q147" s="82"/>
      <c r="R147" s="82"/>
      <c r="S147" s="82"/>
      <c r="T147" s="82"/>
      <c r="U147" s="82">
        <v>217000</v>
      </c>
      <c r="V147" s="6">
        <f>+V146-Table_MAG_Ledger_Authorized[[#This Row],[Federal Amount]]</f>
        <v>65770607.804999977</v>
      </c>
      <c r="W147" s="6"/>
      <c r="Z147" s="5"/>
      <c r="AA147" s="109"/>
      <c r="AC147" s="18"/>
      <c r="AD147" s="75"/>
      <c r="AG147" s="7"/>
      <c r="AR147" s="6"/>
      <c r="BZ147" s="5"/>
      <c r="CF147" s="13"/>
    </row>
    <row r="148" spans="1:84" x14ac:dyDescent="0.25">
      <c r="A148" s="80" t="s">
        <v>73</v>
      </c>
      <c r="B148" s="80" t="s">
        <v>536</v>
      </c>
      <c r="C148" s="80" t="s">
        <v>537</v>
      </c>
      <c r="D148" s="80" t="s">
        <v>62</v>
      </c>
      <c r="E148" s="80" t="s">
        <v>620</v>
      </c>
      <c r="F148" s="80" t="s">
        <v>538</v>
      </c>
      <c r="G148" s="80" t="s">
        <v>214</v>
      </c>
      <c r="H148" s="80" t="s">
        <v>3</v>
      </c>
      <c r="I148" s="81">
        <v>41446</v>
      </c>
      <c r="J148" s="81">
        <v>41522</v>
      </c>
      <c r="K148" s="81">
        <v>41530</v>
      </c>
      <c r="L148" s="82">
        <v>88850</v>
      </c>
      <c r="M148" s="82"/>
      <c r="N148" s="82"/>
      <c r="O148" s="82"/>
      <c r="P148" s="82"/>
      <c r="Q148" s="82"/>
      <c r="R148" s="82"/>
      <c r="S148" s="82"/>
      <c r="T148" s="82"/>
      <c r="U148" s="82">
        <v>88850</v>
      </c>
      <c r="V148" s="6">
        <f>+V147-Table_MAG_Ledger_Authorized[[#This Row],[Federal Amount]]</f>
        <v>65681757.804999977</v>
      </c>
      <c r="W148" s="6"/>
      <c r="Z148" s="5"/>
      <c r="AA148" s="109"/>
      <c r="AC148" s="18"/>
      <c r="AD148" s="75"/>
      <c r="AG148" s="7"/>
      <c r="AR148" s="6"/>
      <c r="BZ148" s="5"/>
      <c r="CF148" s="13"/>
    </row>
    <row r="149" spans="1:84" ht="45" x14ac:dyDescent="0.25">
      <c r="A149" s="80" t="s">
        <v>73</v>
      </c>
      <c r="B149" s="80" t="s">
        <v>350</v>
      </c>
      <c r="C149" s="80" t="s">
        <v>351</v>
      </c>
      <c r="D149" s="80" t="s">
        <v>60</v>
      </c>
      <c r="E149" s="80" t="s">
        <v>352</v>
      </c>
      <c r="F149" s="80" t="s">
        <v>353</v>
      </c>
      <c r="G149" s="80" t="s">
        <v>224</v>
      </c>
      <c r="H149" s="80" t="s">
        <v>3</v>
      </c>
      <c r="I149" s="81">
        <v>41449</v>
      </c>
      <c r="J149" s="81">
        <v>41450</v>
      </c>
      <c r="K149" s="81">
        <v>41452</v>
      </c>
      <c r="L149" s="82">
        <v>64456</v>
      </c>
      <c r="M149" s="82"/>
      <c r="N149" s="82"/>
      <c r="O149" s="82"/>
      <c r="P149" s="82"/>
      <c r="Q149" s="82"/>
      <c r="R149" s="82"/>
      <c r="S149" s="82"/>
      <c r="T149" s="82"/>
      <c r="U149" s="82">
        <v>64456</v>
      </c>
      <c r="V149" s="6">
        <f>+V148-Table_MAG_Ledger_Authorized[[#This Row],[Federal Amount]]</f>
        <v>65617301.804999977</v>
      </c>
      <c r="W149" s="6"/>
      <c r="Z149" s="5"/>
      <c r="AA149" s="109"/>
      <c r="AC149" s="18"/>
      <c r="AD149" s="75"/>
      <c r="AG149" s="7"/>
      <c r="AR149" s="6"/>
      <c r="BZ149" s="5"/>
      <c r="CF149" s="13"/>
    </row>
    <row r="150" spans="1:84" ht="45" x14ac:dyDescent="0.25">
      <c r="A150" s="80" t="s">
        <v>73</v>
      </c>
      <c r="B150" s="80" t="s">
        <v>350</v>
      </c>
      <c r="C150" s="80" t="s">
        <v>351</v>
      </c>
      <c r="D150" s="80" t="s">
        <v>60</v>
      </c>
      <c r="E150" s="80" t="s">
        <v>352</v>
      </c>
      <c r="F150" s="80" t="s">
        <v>353</v>
      </c>
      <c r="G150" s="80" t="s">
        <v>224</v>
      </c>
      <c r="H150" s="80" t="s">
        <v>3</v>
      </c>
      <c r="I150" s="81">
        <v>41473</v>
      </c>
      <c r="J150" s="81">
        <v>41491</v>
      </c>
      <c r="K150" s="81">
        <v>41495</v>
      </c>
      <c r="L150" s="82">
        <v>185062</v>
      </c>
      <c r="M150" s="82"/>
      <c r="N150" s="82"/>
      <c r="O150" s="82"/>
      <c r="P150" s="82"/>
      <c r="Q150" s="82"/>
      <c r="R150" s="82"/>
      <c r="S150" s="82"/>
      <c r="T150" s="82"/>
      <c r="U150" s="82">
        <v>185062</v>
      </c>
      <c r="V150" s="6">
        <f>+V149-Table_MAG_Ledger_Authorized[[#This Row],[Federal Amount]]</f>
        <v>65432239.804999977</v>
      </c>
      <c r="W150" s="6"/>
      <c r="Z150" s="5"/>
      <c r="AA150" s="109"/>
      <c r="AC150" s="18"/>
      <c r="AD150" s="75"/>
      <c r="AG150" s="7"/>
      <c r="AR150" s="6"/>
      <c r="BZ150" s="5"/>
      <c r="CF150" s="13"/>
    </row>
    <row r="151" spans="1:84" ht="45" x14ac:dyDescent="0.25">
      <c r="A151" s="80" t="s">
        <v>73</v>
      </c>
      <c r="B151" s="80" t="s">
        <v>539</v>
      </c>
      <c r="C151" s="80" t="s">
        <v>540</v>
      </c>
      <c r="D151" s="80" t="s">
        <v>62</v>
      </c>
      <c r="E151" s="80" t="s">
        <v>784</v>
      </c>
      <c r="F151" s="80" t="s">
        <v>785</v>
      </c>
      <c r="G151" s="80" t="s">
        <v>224</v>
      </c>
      <c r="H151" s="80" t="s">
        <v>3</v>
      </c>
      <c r="I151" s="81">
        <v>41486</v>
      </c>
      <c r="J151" s="81">
        <v>41522</v>
      </c>
      <c r="K151" s="81">
        <v>41530</v>
      </c>
      <c r="L151" s="82">
        <v>215000</v>
      </c>
      <c r="M151" s="82"/>
      <c r="N151" s="82"/>
      <c r="O151" s="82"/>
      <c r="P151" s="82"/>
      <c r="Q151" s="82"/>
      <c r="R151" s="82"/>
      <c r="S151" s="82"/>
      <c r="T151" s="82"/>
      <c r="U151" s="82">
        <v>215000</v>
      </c>
      <c r="V151" s="6">
        <f>+V150-Table_MAG_Ledger_Authorized[[#This Row],[Federal Amount]]</f>
        <v>65217239.804999977</v>
      </c>
      <c r="W151" s="6"/>
      <c r="Z151" s="5"/>
      <c r="AA151" s="109"/>
      <c r="AC151" s="18"/>
      <c r="AD151" s="75"/>
      <c r="AG151" s="7"/>
      <c r="AR151" s="6"/>
      <c r="BZ151" s="5"/>
      <c r="CF151" s="13"/>
    </row>
    <row r="152" spans="1:84" ht="30" x14ac:dyDescent="0.25">
      <c r="A152" s="80" t="s">
        <v>73</v>
      </c>
      <c r="B152" s="80" t="s">
        <v>807</v>
      </c>
      <c r="C152" s="80" t="s">
        <v>808</v>
      </c>
      <c r="D152" s="80" t="s">
        <v>60</v>
      </c>
      <c r="E152" s="80" t="s">
        <v>809</v>
      </c>
      <c r="F152" s="80" t="s">
        <v>810</v>
      </c>
      <c r="G152" s="80" t="s">
        <v>148</v>
      </c>
      <c r="H152" s="80" t="s">
        <v>4</v>
      </c>
      <c r="I152" s="81">
        <v>41516</v>
      </c>
      <c r="J152" s="81">
        <v>41533</v>
      </c>
      <c r="K152" s="81">
        <v>41535</v>
      </c>
      <c r="L152" s="82">
        <v>560928.80000000005</v>
      </c>
      <c r="M152" s="82"/>
      <c r="N152" s="82"/>
      <c r="O152" s="82"/>
      <c r="P152" s="82"/>
      <c r="Q152" s="82"/>
      <c r="R152" s="82"/>
      <c r="S152" s="82"/>
      <c r="T152" s="82"/>
      <c r="U152" s="82">
        <v>560928.80000000005</v>
      </c>
      <c r="V152" s="6">
        <f>+V151-Table_MAG_Ledger_Authorized[[#This Row],[Federal Amount]]</f>
        <v>64656311.00499998</v>
      </c>
      <c r="W152" s="6"/>
      <c r="Z152" s="5"/>
      <c r="AA152" s="109"/>
      <c r="AC152" s="18"/>
      <c r="AD152" s="75"/>
      <c r="AG152" s="7"/>
      <c r="AR152" s="6"/>
      <c r="BZ152" s="5"/>
      <c r="CF152" s="13"/>
    </row>
    <row r="153" spans="1:84" ht="30" x14ac:dyDescent="0.25">
      <c r="A153" s="80" t="s">
        <v>73</v>
      </c>
      <c r="B153" s="80" t="s">
        <v>354</v>
      </c>
      <c r="C153" s="80" t="s">
        <v>514</v>
      </c>
      <c r="D153" s="80" t="s">
        <v>60</v>
      </c>
      <c r="E153" s="80" t="s">
        <v>515</v>
      </c>
      <c r="F153" s="80" t="s">
        <v>516</v>
      </c>
      <c r="G153" s="80" t="s">
        <v>148</v>
      </c>
      <c r="H153" s="80" t="s">
        <v>3</v>
      </c>
      <c r="I153" s="81">
        <v>41445</v>
      </c>
      <c r="J153" s="81">
        <v>41456</v>
      </c>
      <c r="K153" s="81">
        <v>41471</v>
      </c>
      <c r="L153" s="82">
        <v>741198</v>
      </c>
      <c r="M153" s="82"/>
      <c r="N153" s="82"/>
      <c r="O153" s="82"/>
      <c r="P153" s="82"/>
      <c r="Q153" s="82"/>
      <c r="R153" s="82"/>
      <c r="S153" s="82"/>
      <c r="T153" s="82"/>
      <c r="U153" s="82">
        <v>741198</v>
      </c>
      <c r="V153" s="6">
        <f>+V152-Table_MAG_Ledger_Authorized[[#This Row],[Federal Amount]]</f>
        <v>63915113.00499998</v>
      </c>
      <c r="W153" s="6"/>
      <c r="Z153" s="5"/>
      <c r="AA153" s="109"/>
      <c r="AC153" s="18"/>
      <c r="AD153" s="75"/>
      <c r="AG153" s="7"/>
      <c r="AR153" s="6"/>
      <c r="BZ153" s="5"/>
      <c r="CF153" s="13"/>
    </row>
    <row r="154" spans="1:84" ht="45" x14ac:dyDescent="0.25">
      <c r="A154" s="80" t="s">
        <v>73</v>
      </c>
      <c r="B154" s="80" t="s">
        <v>355</v>
      </c>
      <c r="C154" s="80" t="s">
        <v>292</v>
      </c>
      <c r="D154" s="80" t="s">
        <v>541</v>
      </c>
      <c r="E154" s="80" t="s">
        <v>293</v>
      </c>
      <c r="F154" s="80" t="s">
        <v>294</v>
      </c>
      <c r="G154" s="80" t="s">
        <v>148</v>
      </c>
      <c r="H154" s="80" t="s">
        <v>3</v>
      </c>
      <c r="I154" s="81">
        <v>41436</v>
      </c>
      <c r="J154" s="81">
        <v>41451</v>
      </c>
      <c r="K154" s="81">
        <v>41479</v>
      </c>
      <c r="L154" s="82"/>
      <c r="M154" s="82"/>
      <c r="N154" s="82">
        <v>1157061</v>
      </c>
      <c r="O154" s="82"/>
      <c r="P154" s="82"/>
      <c r="Q154" s="82"/>
      <c r="R154" s="82"/>
      <c r="S154" s="82"/>
      <c r="T154" s="82"/>
      <c r="U154" s="82">
        <v>1157061</v>
      </c>
      <c r="V154" s="6">
        <f>+V153-Table_MAG_Ledger_Authorized[[#This Row],[Federal Amount]]</f>
        <v>62758052.00499998</v>
      </c>
      <c r="W154" s="6"/>
      <c r="Z154" s="5"/>
      <c r="AA154" s="109"/>
      <c r="AC154" s="18"/>
      <c r="AD154" s="75"/>
      <c r="AG154" s="7"/>
      <c r="AR154" s="6"/>
      <c r="BZ154" s="5"/>
      <c r="CF154" s="13"/>
    </row>
    <row r="155" spans="1:84" ht="30" x14ac:dyDescent="0.25">
      <c r="A155" s="80" t="s">
        <v>73</v>
      </c>
      <c r="B155" s="80" t="s">
        <v>811</v>
      </c>
      <c r="C155" s="80" t="s">
        <v>812</v>
      </c>
      <c r="D155" s="80" t="s">
        <v>60</v>
      </c>
      <c r="E155" s="80" t="s">
        <v>813</v>
      </c>
      <c r="F155" s="80" t="s">
        <v>814</v>
      </c>
      <c r="G155" s="80" t="s">
        <v>148</v>
      </c>
      <c r="H155" s="80" t="s">
        <v>3</v>
      </c>
      <c r="I155" s="81">
        <v>41530</v>
      </c>
      <c r="J155" s="81">
        <v>41533</v>
      </c>
      <c r="K155" s="81">
        <v>41536</v>
      </c>
      <c r="L155" s="82"/>
      <c r="M155" s="82"/>
      <c r="N155" s="82"/>
      <c r="O155" s="82"/>
      <c r="P155" s="82"/>
      <c r="Q155" s="82"/>
      <c r="R155" s="82">
        <v>3895652</v>
      </c>
      <c r="S155" s="82"/>
      <c r="T155" s="82"/>
      <c r="U155" s="82">
        <v>3895652</v>
      </c>
      <c r="V155" s="6">
        <f>+V154-Table_MAG_Ledger_Authorized[[#This Row],[Federal Amount]]</f>
        <v>58862400.00499998</v>
      </c>
      <c r="W155" s="6"/>
      <c r="Z155" s="5"/>
      <c r="AA155" s="109"/>
      <c r="AC155" s="18"/>
      <c r="AD155" s="75"/>
      <c r="AG155" s="7"/>
      <c r="AR155" s="6"/>
      <c r="BZ155" s="5"/>
      <c r="CF155" s="13"/>
    </row>
    <row r="156" spans="1:84" x14ac:dyDescent="0.25">
      <c r="A156" s="80" t="s">
        <v>73</v>
      </c>
      <c r="B156" s="80" t="s">
        <v>542</v>
      </c>
      <c r="C156" s="80" t="s">
        <v>543</v>
      </c>
      <c r="D156" s="80" t="s">
        <v>60</v>
      </c>
      <c r="E156" s="80" t="s">
        <v>621</v>
      </c>
      <c r="F156" s="80" t="s">
        <v>544</v>
      </c>
      <c r="G156" s="80" t="s">
        <v>148</v>
      </c>
      <c r="H156" s="80" t="s">
        <v>4</v>
      </c>
      <c r="I156" s="81">
        <v>41508</v>
      </c>
      <c r="J156" s="81">
        <v>41516</v>
      </c>
      <c r="K156" s="81">
        <v>41521</v>
      </c>
      <c r="L156" s="82">
        <v>128486</v>
      </c>
      <c r="M156" s="82"/>
      <c r="N156" s="82"/>
      <c r="O156" s="82"/>
      <c r="P156" s="82"/>
      <c r="Q156" s="82"/>
      <c r="R156" s="82"/>
      <c r="S156" s="82"/>
      <c r="T156" s="82"/>
      <c r="U156" s="82">
        <v>128486</v>
      </c>
      <c r="V156" s="6">
        <f>+V155-Table_MAG_Ledger_Authorized[[#This Row],[Federal Amount]]</f>
        <v>58733914.00499998</v>
      </c>
      <c r="W156" s="6"/>
      <c r="Z156" s="5"/>
      <c r="AA156" s="109"/>
      <c r="AC156" s="18"/>
      <c r="AD156" s="75"/>
      <c r="AG156" s="7"/>
      <c r="AR156" s="6"/>
      <c r="BZ156" s="5"/>
      <c r="CF156" s="13"/>
    </row>
    <row r="157" spans="1:84" x14ac:dyDescent="0.25">
      <c r="A157" s="80" t="s">
        <v>73</v>
      </c>
      <c r="B157" s="80" t="s">
        <v>542</v>
      </c>
      <c r="C157" s="80" t="s">
        <v>543</v>
      </c>
      <c r="D157" s="80" t="s">
        <v>60</v>
      </c>
      <c r="E157" s="80" t="s">
        <v>621</v>
      </c>
      <c r="F157" s="80" t="s">
        <v>544</v>
      </c>
      <c r="G157" s="80" t="s">
        <v>148</v>
      </c>
      <c r="H157" s="80" t="s">
        <v>3</v>
      </c>
      <c r="I157" s="81">
        <v>41470</v>
      </c>
      <c r="J157" s="81">
        <v>41473</v>
      </c>
      <c r="K157" s="81">
        <v>41497</v>
      </c>
      <c r="L157" s="82">
        <v>780721</v>
      </c>
      <c r="M157" s="82"/>
      <c r="N157" s="82"/>
      <c r="O157" s="82"/>
      <c r="P157" s="82"/>
      <c r="Q157" s="82"/>
      <c r="R157" s="82"/>
      <c r="S157" s="82"/>
      <c r="T157" s="82"/>
      <c r="U157" s="82">
        <v>780721</v>
      </c>
      <c r="V157" s="6">
        <f>+V156-Table_MAG_Ledger_Authorized[[#This Row],[Federal Amount]]</f>
        <v>57953193.00499998</v>
      </c>
      <c r="W157" s="6"/>
      <c r="Z157" s="5"/>
      <c r="AA157" s="109"/>
      <c r="AC157" s="18"/>
      <c r="AD157" s="75"/>
      <c r="AG157" s="7"/>
      <c r="AR157" s="6"/>
      <c r="BZ157" s="5"/>
      <c r="CF157" s="13"/>
    </row>
    <row r="158" spans="1:84" ht="30" x14ac:dyDescent="0.25">
      <c r="A158" s="80" t="s">
        <v>73</v>
      </c>
      <c r="B158" s="80" t="s">
        <v>815</v>
      </c>
      <c r="C158" s="80" t="s">
        <v>816</v>
      </c>
      <c r="D158" s="80" t="s">
        <v>60</v>
      </c>
      <c r="E158" s="80" t="s">
        <v>817</v>
      </c>
      <c r="F158" s="80" t="s">
        <v>818</v>
      </c>
      <c r="G158" s="80" t="s">
        <v>148</v>
      </c>
      <c r="H158" s="80" t="s">
        <v>4</v>
      </c>
      <c r="I158" s="81">
        <v>41530</v>
      </c>
      <c r="J158" s="81">
        <v>41533</v>
      </c>
      <c r="K158" s="81">
        <v>41534</v>
      </c>
      <c r="L158" s="82"/>
      <c r="M158" s="82"/>
      <c r="N158" s="82"/>
      <c r="O158" s="82"/>
      <c r="P158" s="82"/>
      <c r="Q158" s="82"/>
      <c r="R158" s="82">
        <v>2048488</v>
      </c>
      <c r="S158" s="82"/>
      <c r="T158" s="82"/>
      <c r="U158" s="82">
        <v>2048488</v>
      </c>
      <c r="V158" s="6">
        <f>+V157-Table_MAG_Ledger_Authorized[[#This Row],[Federal Amount]]</f>
        <v>55904705.00499998</v>
      </c>
      <c r="W158" s="6"/>
      <c r="Z158" s="5"/>
      <c r="AA158" s="109"/>
      <c r="AC158" s="18"/>
      <c r="AD158" s="75"/>
      <c r="AG158" s="7"/>
      <c r="AR158" s="6"/>
      <c r="BZ158" s="5"/>
      <c r="CF158" s="13"/>
    </row>
    <row r="159" spans="1:84" ht="45" x14ac:dyDescent="0.25">
      <c r="A159" s="80" t="s">
        <v>73</v>
      </c>
      <c r="B159" s="80" t="s">
        <v>819</v>
      </c>
      <c r="C159" s="80" t="s">
        <v>820</v>
      </c>
      <c r="D159" s="80" t="s">
        <v>62</v>
      </c>
      <c r="E159" s="80" t="s">
        <v>821</v>
      </c>
      <c r="F159" s="80" t="s">
        <v>822</v>
      </c>
      <c r="G159" s="80" t="s">
        <v>148</v>
      </c>
      <c r="H159" s="80" t="s">
        <v>3</v>
      </c>
      <c r="I159" s="81">
        <v>41530</v>
      </c>
      <c r="J159" s="81">
        <v>41533</v>
      </c>
      <c r="K159" s="81">
        <v>41536</v>
      </c>
      <c r="L159" s="82"/>
      <c r="M159" s="82"/>
      <c r="N159" s="82"/>
      <c r="O159" s="82"/>
      <c r="P159" s="82"/>
      <c r="Q159" s="82"/>
      <c r="R159" s="82">
        <v>1514800</v>
      </c>
      <c r="S159" s="82"/>
      <c r="T159" s="82"/>
      <c r="U159" s="82">
        <v>1514800</v>
      </c>
      <c r="V159" s="6">
        <f>+V158-Table_MAG_Ledger_Authorized[[#This Row],[Federal Amount]]</f>
        <v>54389905.00499998</v>
      </c>
      <c r="W159" s="6"/>
      <c r="Z159" s="5"/>
      <c r="AA159" s="109"/>
      <c r="AC159" s="18"/>
      <c r="AD159" s="75"/>
      <c r="AG159" s="7"/>
      <c r="AR159" s="6"/>
      <c r="BZ159" s="5"/>
      <c r="CF159" s="13"/>
    </row>
    <row r="160" spans="1:84" ht="30" x14ac:dyDescent="0.25">
      <c r="A160" s="80" t="s">
        <v>73</v>
      </c>
      <c r="B160" s="80" t="s">
        <v>583</v>
      </c>
      <c r="C160" s="80" t="s">
        <v>584</v>
      </c>
      <c r="D160" s="80" t="s">
        <v>62</v>
      </c>
      <c r="E160" s="80" t="s">
        <v>585</v>
      </c>
      <c r="F160" s="80" t="s">
        <v>586</v>
      </c>
      <c r="G160" s="80" t="s">
        <v>548</v>
      </c>
      <c r="H160" s="80" t="s">
        <v>4</v>
      </c>
      <c r="I160" s="81">
        <v>41435</v>
      </c>
      <c r="J160" s="81">
        <v>41445</v>
      </c>
      <c r="K160" s="81">
        <v>41445</v>
      </c>
      <c r="L160" s="82"/>
      <c r="M160" s="82"/>
      <c r="N160" s="82">
        <v>79430</v>
      </c>
      <c r="O160" s="82"/>
      <c r="P160" s="82"/>
      <c r="Q160" s="82"/>
      <c r="R160" s="82"/>
      <c r="S160" s="82"/>
      <c r="T160" s="82"/>
      <c r="U160" s="82">
        <v>79430</v>
      </c>
      <c r="V160" s="6">
        <f>+V159-Table_MAG_Ledger_Authorized[[#This Row],[Federal Amount]]</f>
        <v>54310475.00499998</v>
      </c>
      <c r="W160" s="6"/>
      <c r="Z160" s="5"/>
      <c r="AA160" s="109"/>
      <c r="AC160" s="18"/>
      <c r="AD160" s="75"/>
      <c r="AG160" s="7"/>
      <c r="AR160" s="6"/>
      <c r="BZ160" s="5"/>
      <c r="CF160" s="13"/>
    </row>
    <row r="161" spans="1:84" x14ac:dyDescent="0.25">
      <c r="A161" s="80" t="s">
        <v>73</v>
      </c>
      <c r="B161" s="80" t="s">
        <v>545</v>
      </c>
      <c r="C161" s="80" t="s">
        <v>546</v>
      </c>
      <c r="D161" s="80" t="s">
        <v>62</v>
      </c>
      <c r="E161" s="80" t="s">
        <v>786</v>
      </c>
      <c r="F161" s="80" t="s">
        <v>547</v>
      </c>
      <c r="G161" s="80" t="s">
        <v>548</v>
      </c>
      <c r="H161" s="80" t="s">
        <v>3</v>
      </c>
      <c r="I161" s="81">
        <v>41470</v>
      </c>
      <c r="J161" s="81">
        <v>41522</v>
      </c>
      <c r="K161" s="81">
        <v>41530</v>
      </c>
      <c r="L161" s="82">
        <v>320000</v>
      </c>
      <c r="M161" s="82"/>
      <c r="N161" s="82"/>
      <c r="O161" s="82"/>
      <c r="P161" s="82"/>
      <c r="Q161" s="82"/>
      <c r="R161" s="82"/>
      <c r="S161" s="82"/>
      <c r="T161" s="82"/>
      <c r="U161" s="82">
        <v>320000</v>
      </c>
      <c r="V161" s="6">
        <f>+V160-Table_MAG_Ledger_Authorized[[#This Row],[Federal Amount]]</f>
        <v>53990475.00499998</v>
      </c>
      <c r="W161" s="6"/>
      <c r="Z161" s="5"/>
      <c r="AA161" s="109"/>
      <c r="AC161" s="18"/>
      <c r="AD161" s="75"/>
      <c r="AG161" s="7"/>
      <c r="AR161" s="6"/>
      <c r="BZ161" s="5"/>
      <c r="CF161" s="13"/>
    </row>
    <row r="162" spans="1:84" ht="60" x14ac:dyDescent="0.25">
      <c r="A162" s="80" t="s">
        <v>73</v>
      </c>
      <c r="B162" s="80" t="s">
        <v>356</v>
      </c>
      <c r="C162" s="80" t="s">
        <v>357</v>
      </c>
      <c r="D162" s="80" t="s">
        <v>60</v>
      </c>
      <c r="E162" s="80" t="s">
        <v>358</v>
      </c>
      <c r="F162" s="80" t="s">
        <v>359</v>
      </c>
      <c r="G162" s="80" t="s">
        <v>271</v>
      </c>
      <c r="H162" s="80" t="s">
        <v>4</v>
      </c>
      <c r="I162" s="81">
        <v>41428</v>
      </c>
      <c r="J162" s="81">
        <v>41438</v>
      </c>
      <c r="K162" s="81">
        <v>41443</v>
      </c>
      <c r="L162" s="82"/>
      <c r="M162" s="82"/>
      <c r="N162" s="82">
        <v>282000</v>
      </c>
      <c r="O162" s="82"/>
      <c r="P162" s="82"/>
      <c r="Q162" s="82"/>
      <c r="R162" s="82"/>
      <c r="S162" s="82"/>
      <c r="T162" s="82"/>
      <c r="U162" s="82">
        <v>282000</v>
      </c>
      <c r="V162" s="6">
        <f>+V161-Table_MAG_Ledger_Authorized[[#This Row],[Federal Amount]]</f>
        <v>53708475.00499998</v>
      </c>
      <c r="W162" s="6"/>
      <c r="Z162" s="5"/>
      <c r="AA162" s="109"/>
      <c r="AC162" s="18"/>
      <c r="AD162" s="75"/>
      <c r="AG162" s="7"/>
      <c r="AR162" s="6"/>
      <c r="BZ162" s="5"/>
      <c r="CF162" s="13"/>
    </row>
    <row r="163" spans="1:84" ht="30" x14ac:dyDescent="0.25">
      <c r="A163" s="80" t="s">
        <v>73</v>
      </c>
      <c r="B163" s="80" t="s">
        <v>587</v>
      </c>
      <c r="C163" s="80" t="s">
        <v>588</v>
      </c>
      <c r="D163" s="80" t="s">
        <v>60</v>
      </c>
      <c r="E163" s="80" t="s">
        <v>589</v>
      </c>
      <c r="F163" s="80" t="s">
        <v>274</v>
      </c>
      <c r="G163" s="80" t="s">
        <v>590</v>
      </c>
      <c r="H163" s="80" t="s">
        <v>23</v>
      </c>
      <c r="I163" s="81">
        <v>41432</v>
      </c>
      <c r="J163" s="81">
        <v>41435</v>
      </c>
      <c r="K163" s="81">
        <v>41437</v>
      </c>
      <c r="L163" s="82">
        <v>583080</v>
      </c>
      <c r="M163" s="82"/>
      <c r="N163" s="82"/>
      <c r="O163" s="82"/>
      <c r="P163" s="82"/>
      <c r="Q163" s="82"/>
      <c r="R163" s="82"/>
      <c r="S163" s="82"/>
      <c r="T163" s="82"/>
      <c r="U163" s="82">
        <v>583080</v>
      </c>
      <c r="V163" s="6">
        <f>+V162-Table_MAG_Ledger_Authorized[[#This Row],[Federal Amount]]</f>
        <v>53125395.00499998</v>
      </c>
      <c r="W163" s="6"/>
      <c r="Z163" s="5"/>
      <c r="AA163" s="109"/>
      <c r="AC163" s="18"/>
      <c r="AD163" s="75"/>
      <c r="AG163" s="7"/>
      <c r="AR163" s="6"/>
      <c r="BZ163" s="5"/>
      <c r="CF163" s="13"/>
    </row>
    <row r="164" spans="1:84" ht="30" x14ac:dyDescent="0.25">
      <c r="A164" s="80" t="s">
        <v>73</v>
      </c>
      <c r="B164" s="80" t="s">
        <v>360</v>
      </c>
      <c r="C164" s="80" t="s">
        <v>361</v>
      </c>
      <c r="D164" s="80" t="s">
        <v>60</v>
      </c>
      <c r="E164" s="80" t="s">
        <v>362</v>
      </c>
      <c r="F164" s="80" t="s">
        <v>363</v>
      </c>
      <c r="G164" s="80" t="s">
        <v>136</v>
      </c>
      <c r="H164" s="80" t="s">
        <v>3</v>
      </c>
      <c r="I164" s="81">
        <v>41432</v>
      </c>
      <c r="J164" s="81">
        <v>41435</v>
      </c>
      <c r="K164" s="81">
        <v>41450</v>
      </c>
      <c r="L164" s="82">
        <v>848700</v>
      </c>
      <c r="M164" s="82"/>
      <c r="N164" s="82"/>
      <c r="O164" s="82"/>
      <c r="P164" s="82"/>
      <c r="Q164" s="82"/>
      <c r="R164" s="82"/>
      <c r="S164" s="82"/>
      <c r="T164" s="82"/>
      <c r="U164" s="82">
        <v>848700</v>
      </c>
      <c r="V164" s="6">
        <f>+V163-Table_MAG_Ledger_Authorized[[#This Row],[Federal Amount]]</f>
        <v>52276695.00499998</v>
      </c>
      <c r="W164" s="6"/>
      <c r="Z164" s="5"/>
      <c r="AA164" s="109"/>
      <c r="AC164" s="18"/>
      <c r="AD164" s="75"/>
      <c r="AG164" s="7"/>
      <c r="AR164" s="6"/>
      <c r="BZ164" s="5"/>
      <c r="CF164" s="13"/>
    </row>
    <row r="165" spans="1:84" x14ac:dyDescent="0.25">
      <c r="A165" s="80" t="s">
        <v>73</v>
      </c>
      <c r="B165" s="80" t="s">
        <v>823</v>
      </c>
      <c r="C165" s="80" t="s">
        <v>281</v>
      </c>
      <c r="D165" s="80" t="s">
        <v>60</v>
      </c>
      <c r="E165" s="80" t="s">
        <v>282</v>
      </c>
      <c r="F165" s="80" t="s">
        <v>283</v>
      </c>
      <c r="G165" s="80" t="s">
        <v>143</v>
      </c>
      <c r="H165" s="80" t="s">
        <v>4</v>
      </c>
      <c r="I165" s="81">
        <v>41528</v>
      </c>
      <c r="J165" s="81">
        <v>41529</v>
      </c>
      <c r="K165" s="81">
        <v>41537</v>
      </c>
      <c r="L165" s="82">
        <v>88265</v>
      </c>
      <c r="M165" s="82"/>
      <c r="N165" s="82"/>
      <c r="O165" s="82"/>
      <c r="P165" s="82"/>
      <c r="Q165" s="82"/>
      <c r="R165" s="82"/>
      <c r="S165" s="82"/>
      <c r="T165" s="82"/>
      <c r="U165" s="82">
        <v>88265</v>
      </c>
      <c r="V165" s="6">
        <f>+V164-Table_MAG_Ledger_Authorized[[#This Row],[Federal Amount]]</f>
        <v>52188430.00499998</v>
      </c>
      <c r="W165" s="6"/>
      <c r="Z165" s="5"/>
      <c r="AA165" s="109"/>
      <c r="AC165" s="18"/>
      <c r="AD165" s="75"/>
      <c r="AG165" s="7"/>
      <c r="AR165" s="6"/>
      <c r="BZ165" s="5"/>
      <c r="CF165" s="13"/>
    </row>
    <row r="166" spans="1:84" ht="30" x14ac:dyDescent="0.25">
      <c r="A166" s="80" t="s">
        <v>73</v>
      </c>
      <c r="B166" s="80" t="s">
        <v>364</v>
      </c>
      <c r="C166" s="80" t="s">
        <v>365</v>
      </c>
      <c r="D166" s="80" t="s">
        <v>60</v>
      </c>
      <c r="E166" s="80" t="s">
        <v>144</v>
      </c>
      <c r="F166" s="80" t="s">
        <v>366</v>
      </c>
      <c r="G166" s="80" t="s">
        <v>143</v>
      </c>
      <c r="H166" s="80" t="s">
        <v>3</v>
      </c>
      <c r="I166" s="81">
        <v>41439</v>
      </c>
      <c r="J166" s="81">
        <v>41450</v>
      </c>
      <c r="K166" s="81">
        <v>41453</v>
      </c>
      <c r="L166" s="82"/>
      <c r="M166" s="82"/>
      <c r="N166" s="82">
        <v>30528</v>
      </c>
      <c r="O166" s="82"/>
      <c r="P166" s="82"/>
      <c r="Q166" s="82"/>
      <c r="R166" s="82"/>
      <c r="S166" s="82"/>
      <c r="T166" s="82"/>
      <c r="U166" s="82">
        <v>30528</v>
      </c>
      <c r="V166" s="6">
        <f>+V165-Table_MAG_Ledger_Authorized[[#This Row],[Federal Amount]]</f>
        <v>52157902.00499998</v>
      </c>
      <c r="W166" s="6"/>
      <c r="Z166" s="5"/>
      <c r="AA166" s="109"/>
      <c r="AC166" s="18"/>
      <c r="AD166" s="75"/>
      <c r="AG166" s="7"/>
      <c r="AR166" s="6"/>
      <c r="BZ166" s="5"/>
      <c r="CF166" s="13"/>
    </row>
    <row r="167" spans="1:84" ht="30" x14ac:dyDescent="0.25">
      <c r="A167" s="80" t="s">
        <v>73</v>
      </c>
      <c r="B167" s="80" t="s">
        <v>364</v>
      </c>
      <c r="C167" s="80" t="s">
        <v>365</v>
      </c>
      <c r="D167" s="80" t="s">
        <v>62</v>
      </c>
      <c r="E167" s="80" t="s">
        <v>144</v>
      </c>
      <c r="F167" s="80" t="s">
        <v>366</v>
      </c>
      <c r="G167" s="80" t="s">
        <v>143</v>
      </c>
      <c r="H167" s="80" t="s">
        <v>3</v>
      </c>
      <c r="I167" s="81">
        <v>41439</v>
      </c>
      <c r="J167" s="81">
        <v>41450</v>
      </c>
      <c r="K167" s="81">
        <v>41453</v>
      </c>
      <c r="L167" s="82"/>
      <c r="M167" s="82"/>
      <c r="N167" s="82">
        <v>10000</v>
      </c>
      <c r="O167" s="82"/>
      <c r="P167" s="82"/>
      <c r="Q167" s="82"/>
      <c r="R167" s="82"/>
      <c r="S167" s="82"/>
      <c r="T167" s="82"/>
      <c r="U167" s="82">
        <v>10000</v>
      </c>
      <c r="V167" s="6">
        <f>+V166-Table_MAG_Ledger_Authorized[[#This Row],[Federal Amount]]</f>
        <v>52147902.00499998</v>
      </c>
      <c r="W167" s="6"/>
      <c r="Z167" s="5"/>
      <c r="AA167" s="109"/>
      <c r="AC167" s="18"/>
      <c r="AD167" s="75"/>
      <c r="AG167" s="7"/>
      <c r="AR167" s="6"/>
      <c r="BZ167" s="5"/>
      <c r="CF167" s="13"/>
    </row>
    <row r="168" spans="1:84" ht="45" x14ac:dyDescent="0.25">
      <c r="A168" s="80" t="s">
        <v>73</v>
      </c>
      <c r="B168" s="80" t="s">
        <v>367</v>
      </c>
      <c r="C168" s="80" t="s">
        <v>549</v>
      </c>
      <c r="D168" s="80" t="s">
        <v>62</v>
      </c>
      <c r="E168" s="80" t="s">
        <v>550</v>
      </c>
      <c r="F168" s="80" t="s">
        <v>368</v>
      </c>
      <c r="G168" s="80" t="s">
        <v>143</v>
      </c>
      <c r="H168" s="80" t="s">
        <v>3</v>
      </c>
      <c r="I168" s="81">
        <v>41436</v>
      </c>
      <c r="J168" s="81">
        <v>41467</v>
      </c>
      <c r="K168" s="81">
        <v>41497</v>
      </c>
      <c r="L168" s="82">
        <v>174676</v>
      </c>
      <c r="M168" s="82"/>
      <c r="N168" s="82"/>
      <c r="O168" s="82"/>
      <c r="P168" s="82"/>
      <c r="Q168" s="82"/>
      <c r="R168" s="82"/>
      <c r="S168" s="82"/>
      <c r="T168" s="82"/>
      <c r="U168" s="82">
        <v>174676</v>
      </c>
      <c r="V168" s="6">
        <f>+V167-Table_MAG_Ledger_Authorized[[#This Row],[Federal Amount]]</f>
        <v>51973226.00499998</v>
      </c>
      <c r="W168" s="6"/>
      <c r="Z168" s="5"/>
      <c r="AA168" s="109"/>
      <c r="AC168" s="18"/>
      <c r="AD168" s="75"/>
      <c r="AG168" s="7"/>
      <c r="AR168" s="6"/>
      <c r="BZ168" s="5"/>
      <c r="CF168" s="13"/>
    </row>
    <row r="169" spans="1:84" ht="45" x14ac:dyDescent="0.25">
      <c r="A169" s="80" t="s">
        <v>73</v>
      </c>
      <c r="B169" s="80" t="s">
        <v>369</v>
      </c>
      <c r="C169" s="80" t="s">
        <v>370</v>
      </c>
      <c r="D169" s="80" t="s">
        <v>60</v>
      </c>
      <c r="E169" s="80" t="s">
        <v>371</v>
      </c>
      <c r="F169" s="80" t="s">
        <v>372</v>
      </c>
      <c r="G169" s="80" t="s">
        <v>101</v>
      </c>
      <c r="H169" s="80" t="s">
        <v>3</v>
      </c>
      <c r="I169" s="81">
        <v>41432</v>
      </c>
      <c r="J169" s="81">
        <v>41442</v>
      </c>
      <c r="K169" s="81">
        <v>41450</v>
      </c>
      <c r="L169" s="82">
        <v>1557943</v>
      </c>
      <c r="M169" s="82"/>
      <c r="N169" s="82"/>
      <c r="O169" s="82"/>
      <c r="P169" s="82"/>
      <c r="Q169" s="82"/>
      <c r="R169" s="82"/>
      <c r="S169" s="82"/>
      <c r="T169" s="82"/>
      <c r="U169" s="82">
        <v>1557943</v>
      </c>
      <c r="V169" s="6">
        <f>+V168-Table_MAG_Ledger_Authorized[[#This Row],[Federal Amount]]</f>
        <v>50415283.00499998</v>
      </c>
      <c r="W169" s="6"/>
      <c r="Z169" s="5"/>
      <c r="AA169" s="109"/>
      <c r="AC169" s="18"/>
      <c r="AD169" s="75"/>
      <c r="AG169" s="7"/>
      <c r="AR169" s="6"/>
      <c r="BZ169" s="5"/>
      <c r="CF169" s="13"/>
    </row>
    <row r="170" spans="1:84" ht="45" x14ac:dyDescent="0.25">
      <c r="A170" s="80" t="s">
        <v>73</v>
      </c>
      <c r="B170" s="80" t="s">
        <v>373</v>
      </c>
      <c r="C170" s="80" t="s">
        <v>374</v>
      </c>
      <c r="D170" s="80" t="s">
        <v>60</v>
      </c>
      <c r="E170" s="80" t="s">
        <v>375</v>
      </c>
      <c r="F170" s="80" t="s">
        <v>376</v>
      </c>
      <c r="G170" s="80" t="s">
        <v>101</v>
      </c>
      <c r="H170" s="80" t="s">
        <v>3</v>
      </c>
      <c r="I170" s="81">
        <v>41512</v>
      </c>
      <c r="J170" s="81">
        <v>41513</v>
      </c>
      <c r="K170" s="81">
        <v>41514</v>
      </c>
      <c r="L170" s="82">
        <v>899276</v>
      </c>
      <c r="M170" s="82"/>
      <c r="N170" s="82"/>
      <c r="O170" s="82"/>
      <c r="P170" s="82"/>
      <c r="Q170" s="82"/>
      <c r="R170" s="82"/>
      <c r="S170" s="82"/>
      <c r="T170" s="82"/>
      <c r="U170" s="82">
        <v>899276</v>
      </c>
      <c r="V170" s="6">
        <f>+V169-Table_MAG_Ledger_Authorized[[#This Row],[Federal Amount]]</f>
        <v>49516007.00499998</v>
      </c>
      <c r="W170" s="6"/>
      <c r="Z170" s="5"/>
      <c r="AA170" s="109"/>
      <c r="AC170" s="18"/>
      <c r="AD170" s="75"/>
      <c r="AG170" s="7"/>
      <c r="AR170" s="6"/>
      <c r="BZ170" s="5"/>
      <c r="CF170" s="13"/>
    </row>
    <row r="171" spans="1:84" ht="30" x14ac:dyDescent="0.25">
      <c r="A171" s="80" t="s">
        <v>73</v>
      </c>
      <c r="B171" s="80" t="s">
        <v>377</v>
      </c>
      <c r="C171" s="80" t="s">
        <v>378</v>
      </c>
      <c r="D171" s="80" t="s">
        <v>60</v>
      </c>
      <c r="E171" s="80" t="s">
        <v>379</v>
      </c>
      <c r="F171" s="80" t="s">
        <v>380</v>
      </c>
      <c r="G171" s="80" t="s">
        <v>101</v>
      </c>
      <c r="H171" s="80" t="s">
        <v>3</v>
      </c>
      <c r="I171" s="81">
        <v>41439</v>
      </c>
      <c r="J171" s="81">
        <v>41446</v>
      </c>
      <c r="K171" s="81">
        <v>41453</v>
      </c>
      <c r="L171" s="82"/>
      <c r="M171" s="82"/>
      <c r="N171" s="82">
        <v>59040</v>
      </c>
      <c r="O171" s="82"/>
      <c r="P171" s="82"/>
      <c r="Q171" s="82"/>
      <c r="R171" s="82"/>
      <c r="S171" s="82"/>
      <c r="T171" s="82"/>
      <c r="U171" s="82">
        <v>59040</v>
      </c>
      <c r="V171" s="6">
        <f>+V170-Table_MAG_Ledger_Authorized[[#This Row],[Federal Amount]]</f>
        <v>49456967.00499998</v>
      </c>
      <c r="W171" s="74"/>
      <c r="Z171" s="5"/>
      <c r="AA171" s="109"/>
      <c r="AC171" s="18"/>
      <c r="AD171" s="105"/>
      <c r="AG171" s="7"/>
      <c r="AR171" s="6"/>
      <c r="BZ171" s="5"/>
      <c r="CF171" s="13"/>
    </row>
    <row r="172" spans="1:84" ht="30" x14ac:dyDescent="0.25">
      <c r="A172" s="80" t="s">
        <v>73</v>
      </c>
      <c r="B172" s="80" t="s">
        <v>377</v>
      </c>
      <c r="C172" s="80" t="s">
        <v>378</v>
      </c>
      <c r="D172" s="80" t="s">
        <v>62</v>
      </c>
      <c r="E172" s="80" t="s">
        <v>379</v>
      </c>
      <c r="F172" s="80" t="s">
        <v>380</v>
      </c>
      <c r="G172" s="80" t="s">
        <v>101</v>
      </c>
      <c r="H172" s="80" t="s">
        <v>3</v>
      </c>
      <c r="I172" s="81">
        <v>41436</v>
      </c>
      <c r="J172" s="81">
        <v>41446</v>
      </c>
      <c r="K172" s="81">
        <v>41453</v>
      </c>
      <c r="L172" s="82"/>
      <c r="M172" s="82"/>
      <c r="N172" s="82">
        <v>10000</v>
      </c>
      <c r="O172" s="82"/>
      <c r="P172" s="82"/>
      <c r="Q172" s="82"/>
      <c r="R172" s="82"/>
      <c r="S172" s="82"/>
      <c r="T172" s="82"/>
      <c r="U172" s="82">
        <v>10000</v>
      </c>
      <c r="V172" s="6">
        <f>+V171-Table_MAG_Ledger_Authorized[[#This Row],[Federal Amount]]</f>
        <v>49446967.00499998</v>
      </c>
      <c r="W172" s="6"/>
      <c r="Z172" s="5"/>
      <c r="AA172" s="109"/>
      <c r="AC172" s="18"/>
      <c r="AD172" s="105"/>
      <c r="AG172" s="7"/>
      <c r="AR172" s="6"/>
      <c r="BZ172" s="5"/>
      <c r="CF172" s="13"/>
    </row>
    <row r="173" spans="1:84" ht="30" x14ac:dyDescent="0.25">
      <c r="A173" s="80" t="s">
        <v>73</v>
      </c>
      <c r="B173" s="80" t="s">
        <v>381</v>
      </c>
      <c r="C173" s="80" t="s">
        <v>382</v>
      </c>
      <c r="D173" s="80" t="s">
        <v>62</v>
      </c>
      <c r="E173" s="80" t="s">
        <v>383</v>
      </c>
      <c r="F173" s="80" t="s">
        <v>380</v>
      </c>
      <c r="G173" s="80" t="s">
        <v>101</v>
      </c>
      <c r="H173" s="80" t="s">
        <v>3</v>
      </c>
      <c r="I173" s="81">
        <v>41436</v>
      </c>
      <c r="J173" s="81">
        <v>41446</v>
      </c>
      <c r="K173" s="81">
        <v>41453</v>
      </c>
      <c r="L173" s="82"/>
      <c r="M173" s="82"/>
      <c r="N173" s="82">
        <v>303110</v>
      </c>
      <c r="O173" s="82"/>
      <c r="P173" s="82"/>
      <c r="Q173" s="82"/>
      <c r="R173" s="82"/>
      <c r="S173" s="82"/>
      <c r="T173" s="82"/>
      <c r="U173" s="82">
        <v>303110</v>
      </c>
      <c r="V173" s="6">
        <f>+V172-Table_MAG_Ledger_Authorized[[#This Row],[Federal Amount]]</f>
        <v>49143857.00499998</v>
      </c>
      <c r="W173" s="74"/>
      <c r="Z173" s="5"/>
      <c r="AA173" s="109"/>
      <c r="AC173" s="18"/>
      <c r="AD173" s="110"/>
      <c r="AG173" s="7"/>
      <c r="AR173" s="6"/>
      <c r="BZ173" s="5"/>
      <c r="CF173" s="13"/>
    </row>
    <row r="174" spans="1:84" ht="45" x14ac:dyDescent="0.25">
      <c r="A174" s="80" t="s">
        <v>73</v>
      </c>
      <c r="B174" s="80" t="s">
        <v>384</v>
      </c>
      <c r="C174" s="80" t="s">
        <v>385</v>
      </c>
      <c r="D174" s="80" t="s">
        <v>60</v>
      </c>
      <c r="E174" s="80" t="s">
        <v>386</v>
      </c>
      <c r="F174" s="80" t="s">
        <v>387</v>
      </c>
      <c r="G174" s="80" t="s">
        <v>101</v>
      </c>
      <c r="H174" s="80" t="s">
        <v>3</v>
      </c>
      <c r="I174" s="81">
        <v>41512</v>
      </c>
      <c r="J174" s="81">
        <v>41522</v>
      </c>
      <c r="K174" s="81">
        <v>41540</v>
      </c>
      <c r="L174" s="82">
        <v>972721</v>
      </c>
      <c r="M174" s="82"/>
      <c r="N174" s="82"/>
      <c r="O174" s="82"/>
      <c r="P174" s="82"/>
      <c r="Q174" s="82"/>
      <c r="R174" s="82"/>
      <c r="S174" s="82"/>
      <c r="T174" s="82"/>
      <c r="U174" s="82">
        <v>972721</v>
      </c>
      <c r="V174" s="6">
        <f>+V173-Table_MAG_Ledger_Authorized[[#This Row],[Federal Amount]]</f>
        <v>48171136.00499998</v>
      </c>
      <c r="W174" s="6"/>
      <c r="Z174" s="5"/>
      <c r="AA174" s="109"/>
      <c r="AC174" s="18"/>
      <c r="AD174" s="110"/>
      <c r="AG174" s="7"/>
      <c r="AR174" s="6"/>
      <c r="BZ174" s="5"/>
      <c r="CF174" s="13"/>
    </row>
    <row r="175" spans="1:84" ht="45" x14ac:dyDescent="0.25">
      <c r="A175" s="80" t="s">
        <v>73</v>
      </c>
      <c r="B175" s="80" t="s">
        <v>388</v>
      </c>
      <c r="C175" s="80" t="s">
        <v>370</v>
      </c>
      <c r="D175" s="80" t="s">
        <v>60</v>
      </c>
      <c r="E175" s="80" t="s">
        <v>371</v>
      </c>
      <c r="F175" s="80" t="s">
        <v>372</v>
      </c>
      <c r="G175" s="80" t="s">
        <v>101</v>
      </c>
      <c r="H175" s="80" t="s">
        <v>3</v>
      </c>
      <c r="I175" s="81">
        <v>41432</v>
      </c>
      <c r="J175" s="81">
        <v>41442</v>
      </c>
      <c r="K175" s="81">
        <v>41450</v>
      </c>
      <c r="L175" s="82">
        <v>1388096</v>
      </c>
      <c r="M175" s="82"/>
      <c r="N175" s="82"/>
      <c r="O175" s="82"/>
      <c r="P175" s="82"/>
      <c r="Q175" s="82"/>
      <c r="R175" s="82"/>
      <c r="S175" s="82"/>
      <c r="T175" s="82"/>
      <c r="U175" s="82">
        <v>1388096</v>
      </c>
      <c r="V175" s="6">
        <f>+V174-Table_MAG_Ledger_Authorized[[#This Row],[Federal Amount]]</f>
        <v>46783040.00499998</v>
      </c>
      <c r="W175" s="6"/>
      <c r="Z175" s="5"/>
      <c r="AA175" s="109"/>
      <c r="AC175" s="18"/>
      <c r="AD175" s="110"/>
      <c r="AG175" s="7"/>
      <c r="AR175" s="6"/>
      <c r="BZ175" s="5"/>
      <c r="CF175" s="13"/>
    </row>
    <row r="176" spans="1:84" ht="30" x14ac:dyDescent="0.25">
      <c r="A176" s="80" t="s">
        <v>73</v>
      </c>
      <c r="B176" s="80" t="s">
        <v>758</v>
      </c>
      <c r="C176" s="80" t="s">
        <v>694</v>
      </c>
      <c r="D176" s="80" t="s">
        <v>57</v>
      </c>
      <c r="E176" s="80" t="s">
        <v>759</v>
      </c>
      <c r="F176" s="80" t="s">
        <v>760</v>
      </c>
      <c r="G176" s="80" t="s">
        <v>73</v>
      </c>
      <c r="H176" s="80" t="s">
        <v>3</v>
      </c>
      <c r="I176" s="81">
        <v>41495</v>
      </c>
      <c r="J176" s="81">
        <v>41498</v>
      </c>
      <c r="K176" s="81">
        <v>41501</v>
      </c>
      <c r="L176" s="82"/>
      <c r="M176" s="82"/>
      <c r="N176" s="82"/>
      <c r="O176" s="82"/>
      <c r="P176" s="82"/>
      <c r="Q176" s="82"/>
      <c r="R176" s="82">
        <v>4800000</v>
      </c>
      <c r="S176" s="82"/>
      <c r="T176" s="82"/>
      <c r="U176" s="82">
        <v>4800000</v>
      </c>
      <c r="V176" s="6">
        <f>+V175-Table_MAG_Ledger_Authorized[[#This Row],[Federal Amount]]</f>
        <v>41983040.00499998</v>
      </c>
      <c r="W176" s="6"/>
      <c r="Z176" s="5"/>
      <c r="AA176" s="109"/>
      <c r="AC176" s="18"/>
      <c r="AD176" s="110"/>
      <c r="AG176" s="7"/>
      <c r="AR176" s="6"/>
      <c r="BZ176" s="5"/>
      <c r="CF176" s="13"/>
    </row>
    <row r="177" spans="1:84" ht="45" x14ac:dyDescent="0.25">
      <c r="A177" s="80" t="s">
        <v>73</v>
      </c>
      <c r="B177" s="80" t="s">
        <v>389</v>
      </c>
      <c r="C177" s="80" t="s">
        <v>390</v>
      </c>
      <c r="D177" s="80" t="s">
        <v>60</v>
      </c>
      <c r="E177" s="80" t="s">
        <v>391</v>
      </c>
      <c r="F177" s="80" t="s">
        <v>392</v>
      </c>
      <c r="G177" s="80" t="s">
        <v>121</v>
      </c>
      <c r="H177" s="80" t="s">
        <v>3</v>
      </c>
      <c r="I177" s="81">
        <v>41495</v>
      </c>
      <c r="J177" s="81">
        <v>41495</v>
      </c>
      <c r="K177" s="81">
        <v>41506</v>
      </c>
      <c r="L177" s="82">
        <v>494963</v>
      </c>
      <c r="M177" s="82"/>
      <c r="N177" s="82"/>
      <c r="O177" s="82"/>
      <c r="P177" s="82"/>
      <c r="Q177" s="82"/>
      <c r="R177" s="82"/>
      <c r="S177" s="82"/>
      <c r="T177" s="82"/>
      <c r="U177" s="82">
        <v>494963</v>
      </c>
      <c r="V177" s="6">
        <f>+V176-Table_MAG_Ledger_Authorized[[#This Row],[Federal Amount]]</f>
        <v>41488077.00499998</v>
      </c>
      <c r="W177" s="6"/>
      <c r="Z177" s="5"/>
      <c r="AA177" s="109"/>
      <c r="AC177" s="18"/>
      <c r="AD177" s="110"/>
      <c r="AG177" s="7"/>
      <c r="AR177" s="6"/>
      <c r="BZ177" s="5"/>
      <c r="CF177" s="13"/>
    </row>
    <row r="178" spans="1:84" ht="30" x14ac:dyDescent="0.25">
      <c r="A178" s="80" t="s">
        <v>73</v>
      </c>
      <c r="B178" s="80" t="s">
        <v>393</v>
      </c>
      <c r="C178" s="80" t="s">
        <v>394</v>
      </c>
      <c r="D178" s="80" t="s">
        <v>60</v>
      </c>
      <c r="E178" s="80" t="s">
        <v>395</v>
      </c>
      <c r="F178" s="80" t="s">
        <v>396</v>
      </c>
      <c r="G178" s="80" t="s">
        <v>121</v>
      </c>
      <c r="H178" s="80" t="s">
        <v>3</v>
      </c>
      <c r="I178" s="81">
        <v>41464</v>
      </c>
      <c r="J178" s="81">
        <v>41486</v>
      </c>
      <c r="K178" s="81">
        <v>41497</v>
      </c>
      <c r="L178" s="82">
        <v>549362</v>
      </c>
      <c r="M178" s="82"/>
      <c r="N178" s="82"/>
      <c r="O178" s="82"/>
      <c r="P178" s="82"/>
      <c r="Q178" s="82"/>
      <c r="R178" s="82"/>
      <c r="S178" s="82"/>
      <c r="T178" s="82"/>
      <c r="U178" s="82">
        <v>549362</v>
      </c>
      <c r="V178" s="6">
        <f>+V177-Table_MAG_Ledger_Authorized[[#This Row],[Federal Amount]]</f>
        <v>40938715.00499998</v>
      </c>
      <c r="W178" s="6"/>
      <c r="Z178" s="5"/>
      <c r="AA178" s="109"/>
      <c r="AC178" s="18"/>
      <c r="AD178" s="110"/>
      <c r="AG178" s="7"/>
      <c r="AR178" s="6"/>
      <c r="BZ178" s="5"/>
      <c r="CF178" s="13"/>
    </row>
    <row r="179" spans="1:84" x14ac:dyDescent="0.25">
      <c r="A179" s="80" t="s">
        <v>73</v>
      </c>
      <c r="B179" s="80" t="s">
        <v>295</v>
      </c>
      <c r="C179" s="80" t="s">
        <v>296</v>
      </c>
      <c r="D179" s="80" t="s">
        <v>62</v>
      </c>
      <c r="E179" s="80" t="s">
        <v>297</v>
      </c>
      <c r="F179" s="80" t="s">
        <v>298</v>
      </c>
      <c r="G179" s="80" t="s">
        <v>121</v>
      </c>
      <c r="H179" s="80" t="s">
        <v>3</v>
      </c>
      <c r="I179" s="81">
        <v>41377</v>
      </c>
      <c r="J179" s="81">
        <v>41381</v>
      </c>
      <c r="K179" s="81">
        <v>41388</v>
      </c>
      <c r="L179" s="82">
        <v>146500</v>
      </c>
      <c r="M179" s="82"/>
      <c r="N179" s="82"/>
      <c r="O179" s="82"/>
      <c r="P179" s="82"/>
      <c r="Q179" s="82"/>
      <c r="R179" s="82"/>
      <c r="S179" s="82"/>
      <c r="T179" s="82"/>
      <c r="U179" s="82">
        <v>146500</v>
      </c>
      <c r="V179" s="6">
        <f>+V178-Table_MAG_Ledger_Authorized[[#This Row],[Federal Amount]]</f>
        <v>40792215.00499998</v>
      </c>
      <c r="W179" s="6"/>
      <c r="Z179" s="5"/>
      <c r="AA179" s="109"/>
      <c r="AC179" s="18"/>
      <c r="AD179" s="110"/>
      <c r="AG179" s="7"/>
      <c r="AR179" s="6"/>
      <c r="BZ179" s="5"/>
      <c r="CF179" s="13"/>
    </row>
    <row r="180" spans="1:84" ht="45" x14ac:dyDescent="0.25">
      <c r="A180" s="80" t="s">
        <v>73</v>
      </c>
      <c r="B180" s="80" t="s">
        <v>397</v>
      </c>
      <c r="C180" s="80" t="s">
        <v>505</v>
      </c>
      <c r="D180" s="80" t="s">
        <v>62</v>
      </c>
      <c r="E180" s="80" t="s">
        <v>506</v>
      </c>
      <c r="F180" s="80" t="s">
        <v>507</v>
      </c>
      <c r="G180" s="80" t="s">
        <v>156</v>
      </c>
      <c r="H180" s="80" t="s">
        <v>3</v>
      </c>
      <c r="I180" s="81">
        <v>41404</v>
      </c>
      <c r="J180" s="81">
        <v>41425</v>
      </c>
      <c r="K180" s="81">
        <v>41431</v>
      </c>
      <c r="L180" s="82">
        <v>282900</v>
      </c>
      <c r="M180" s="82"/>
      <c r="N180" s="82"/>
      <c r="O180" s="82"/>
      <c r="P180" s="82"/>
      <c r="Q180" s="82"/>
      <c r="R180" s="82"/>
      <c r="S180" s="82"/>
      <c r="T180" s="82"/>
      <c r="U180" s="82">
        <v>282900</v>
      </c>
      <c r="V180" s="6">
        <f>+V179-Table_MAG_Ledger_Authorized[[#This Row],[Federal Amount]]</f>
        <v>40509315.00499998</v>
      </c>
      <c r="W180" s="6"/>
      <c r="Z180" s="5"/>
      <c r="AA180" s="109"/>
      <c r="AC180" s="18"/>
      <c r="AD180" s="110"/>
      <c r="AG180" s="7"/>
      <c r="AR180" s="6"/>
      <c r="BZ180" s="5"/>
      <c r="CF180" s="13"/>
    </row>
    <row r="181" spans="1:84" ht="45" x14ac:dyDescent="0.25">
      <c r="A181" s="80" t="s">
        <v>73</v>
      </c>
      <c r="B181" s="80" t="s">
        <v>779</v>
      </c>
      <c r="C181" s="80" t="s">
        <v>304</v>
      </c>
      <c r="D181" s="80" t="s">
        <v>62</v>
      </c>
      <c r="E181" s="80" t="s">
        <v>305</v>
      </c>
      <c r="F181" s="80" t="s">
        <v>306</v>
      </c>
      <c r="G181" s="80" t="s">
        <v>156</v>
      </c>
      <c r="H181" s="80" t="s">
        <v>24</v>
      </c>
      <c r="I181" s="81">
        <v>41532</v>
      </c>
      <c r="J181" s="81">
        <v>41533</v>
      </c>
      <c r="K181" s="81">
        <v>41535</v>
      </c>
      <c r="L181" s="82"/>
      <c r="M181" s="82"/>
      <c r="N181" s="82"/>
      <c r="O181" s="82"/>
      <c r="P181" s="82"/>
      <c r="Q181" s="82"/>
      <c r="R181" s="82">
        <v>651204</v>
      </c>
      <c r="S181" s="82"/>
      <c r="T181" s="82"/>
      <c r="U181" s="82">
        <v>651204</v>
      </c>
      <c r="V181" s="6">
        <f>+V180-Table_MAG_Ledger_Authorized[[#This Row],[Federal Amount]]</f>
        <v>39858111.00499998</v>
      </c>
      <c r="W181" s="6"/>
      <c r="Z181" s="5"/>
      <c r="AA181" s="109"/>
      <c r="AC181" s="18"/>
      <c r="AD181" s="110"/>
      <c r="AG181" s="7"/>
      <c r="AR181" s="6"/>
      <c r="BZ181" s="5"/>
      <c r="CF181" s="13"/>
    </row>
    <row r="182" spans="1:84" ht="45" x14ac:dyDescent="0.25">
      <c r="A182" s="80" t="s">
        <v>73</v>
      </c>
      <c r="B182" s="80" t="s">
        <v>299</v>
      </c>
      <c r="C182" s="80" t="s">
        <v>300</v>
      </c>
      <c r="D182" s="80" t="s">
        <v>60</v>
      </c>
      <c r="E182" s="80" t="s">
        <v>301</v>
      </c>
      <c r="F182" s="80" t="s">
        <v>302</v>
      </c>
      <c r="G182" s="80" t="s">
        <v>156</v>
      </c>
      <c r="H182" s="80" t="s">
        <v>4</v>
      </c>
      <c r="I182" s="81">
        <v>41377</v>
      </c>
      <c r="J182" s="81">
        <v>41380</v>
      </c>
      <c r="K182" s="81">
        <v>41396</v>
      </c>
      <c r="L182" s="82">
        <v>131839</v>
      </c>
      <c r="M182" s="82"/>
      <c r="N182" s="82"/>
      <c r="O182" s="82"/>
      <c r="P182" s="82"/>
      <c r="Q182" s="82"/>
      <c r="R182" s="82"/>
      <c r="S182" s="82"/>
      <c r="T182" s="82"/>
      <c r="U182" s="82">
        <v>131839</v>
      </c>
      <c r="V182" s="6">
        <f>+V181-Table_MAG_Ledger_Authorized[[#This Row],[Federal Amount]]</f>
        <v>39726272.00499998</v>
      </c>
      <c r="W182" s="6"/>
      <c r="Z182" s="5"/>
      <c r="AA182" s="109"/>
      <c r="AC182" s="18"/>
      <c r="AD182" s="110"/>
      <c r="AG182" s="7"/>
      <c r="AR182" s="6"/>
      <c r="BZ182" s="5"/>
      <c r="CF182" s="13"/>
    </row>
    <row r="183" spans="1:84" ht="45" x14ac:dyDescent="0.25">
      <c r="A183" s="80" t="s">
        <v>73</v>
      </c>
      <c r="B183" s="80" t="s">
        <v>299</v>
      </c>
      <c r="C183" s="80" t="s">
        <v>300</v>
      </c>
      <c r="D183" s="80" t="s">
        <v>60</v>
      </c>
      <c r="E183" s="80" t="s">
        <v>301</v>
      </c>
      <c r="F183" s="80" t="s">
        <v>302</v>
      </c>
      <c r="G183" s="80" t="s">
        <v>156</v>
      </c>
      <c r="H183" s="80" t="s">
        <v>3</v>
      </c>
      <c r="I183" s="81">
        <v>41346</v>
      </c>
      <c r="J183" s="81">
        <v>41347</v>
      </c>
      <c r="K183" s="81">
        <v>41355</v>
      </c>
      <c r="L183" s="82">
        <v>422305</v>
      </c>
      <c r="M183" s="82"/>
      <c r="N183" s="82"/>
      <c r="O183" s="82"/>
      <c r="P183" s="82"/>
      <c r="Q183" s="82"/>
      <c r="R183" s="82"/>
      <c r="S183" s="82"/>
      <c r="T183" s="82"/>
      <c r="U183" s="82">
        <v>422305</v>
      </c>
      <c r="V183" s="6">
        <f>+V182-Table_MAG_Ledger_Authorized[[#This Row],[Federal Amount]]</f>
        <v>39303967.00499998</v>
      </c>
      <c r="W183" s="6"/>
      <c r="Z183" s="5"/>
      <c r="AA183" s="109"/>
      <c r="AC183" s="18"/>
      <c r="AD183" s="110"/>
      <c r="AG183" s="7"/>
      <c r="AR183" s="6"/>
      <c r="BZ183" s="5"/>
      <c r="CF183" s="13"/>
    </row>
    <row r="184" spans="1:84" x14ac:dyDescent="0.25">
      <c r="A184" s="80" t="s">
        <v>73</v>
      </c>
      <c r="B184" s="80" t="s">
        <v>824</v>
      </c>
      <c r="C184" s="80" t="s">
        <v>825</v>
      </c>
      <c r="D184" s="80" t="s">
        <v>62</v>
      </c>
      <c r="E184" s="80" t="s">
        <v>826</v>
      </c>
      <c r="F184" s="80" t="s">
        <v>827</v>
      </c>
      <c r="G184" s="80" t="s">
        <v>156</v>
      </c>
      <c r="H184" s="80" t="s">
        <v>3</v>
      </c>
      <c r="I184" s="81">
        <v>41530</v>
      </c>
      <c r="J184" s="81">
        <v>41533</v>
      </c>
      <c r="K184" s="81">
        <v>41536</v>
      </c>
      <c r="L184" s="82"/>
      <c r="M184" s="82"/>
      <c r="N184" s="82"/>
      <c r="O184" s="82"/>
      <c r="P184" s="82"/>
      <c r="Q184" s="82"/>
      <c r="R184" s="82">
        <v>782690</v>
      </c>
      <c r="S184" s="82"/>
      <c r="T184" s="82"/>
      <c r="U184" s="82">
        <v>782690</v>
      </c>
      <c r="V184" s="6">
        <f>+V183-Table_MAG_Ledger_Authorized[[#This Row],[Federal Amount]]</f>
        <v>38521277.00499998</v>
      </c>
      <c r="W184" s="6"/>
      <c r="Z184" s="5"/>
      <c r="AA184" s="109"/>
      <c r="AC184" s="18"/>
      <c r="AD184" s="110"/>
      <c r="AG184" s="7"/>
      <c r="AR184" s="6"/>
      <c r="BZ184" s="5"/>
      <c r="CF184" s="13"/>
    </row>
    <row r="185" spans="1:84" ht="30" x14ac:dyDescent="0.25">
      <c r="A185" s="80" t="s">
        <v>73</v>
      </c>
      <c r="B185" s="80" t="s">
        <v>494</v>
      </c>
      <c r="C185" s="80" t="s">
        <v>495</v>
      </c>
      <c r="D185" s="80" t="s">
        <v>60</v>
      </c>
      <c r="E185" s="80" t="s">
        <v>496</v>
      </c>
      <c r="F185" s="80" t="s">
        <v>497</v>
      </c>
      <c r="G185" s="80" t="s">
        <v>156</v>
      </c>
      <c r="H185" s="80" t="s">
        <v>24</v>
      </c>
      <c r="I185" s="81">
        <v>41532</v>
      </c>
      <c r="J185" s="81">
        <v>41533</v>
      </c>
      <c r="K185" s="81">
        <v>41535</v>
      </c>
      <c r="L185" s="82"/>
      <c r="M185" s="82"/>
      <c r="N185" s="82"/>
      <c r="O185" s="82"/>
      <c r="P185" s="82"/>
      <c r="Q185" s="82"/>
      <c r="R185" s="82">
        <v>6866000</v>
      </c>
      <c r="S185" s="82"/>
      <c r="T185" s="82"/>
      <c r="U185" s="82">
        <v>6866000</v>
      </c>
      <c r="V185" s="6">
        <f>+V184-Table_MAG_Ledger_Authorized[[#This Row],[Federal Amount]]</f>
        <v>31655277.00499998</v>
      </c>
      <c r="W185" s="6"/>
      <c r="Z185" s="5"/>
      <c r="AA185" s="109"/>
      <c r="AC185" s="18"/>
      <c r="AD185" s="110"/>
      <c r="AG185" s="7"/>
      <c r="AR185" s="6"/>
      <c r="BZ185" s="5"/>
      <c r="CF185" s="13"/>
    </row>
    <row r="186" spans="1:84" ht="45" x14ac:dyDescent="0.25">
      <c r="A186" s="80" t="s">
        <v>73</v>
      </c>
      <c r="B186" s="80" t="s">
        <v>303</v>
      </c>
      <c r="C186" s="80" t="s">
        <v>304</v>
      </c>
      <c r="D186" s="80" t="s">
        <v>61</v>
      </c>
      <c r="E186" s="80" t="s">
        <v>305</v>
      </c>
      <c r="F186" s="80" t="s">
        <v>306</v>
      </c>
      <c r="G186" s="80" t="s">
        <v>156</v>
      </c>
      <c r="H186" s="80" t="s">
        <v>24</v>
      </c>
      <c r="I186" s="81">
        <v>41397</v>
      </c>
      <c r="J186" s="81">
        <v>41401</v>
      </c>
      <c r="K186" s="81">
        <v>41401</v>
      </c>
      <c r="L186" s="82"/>
      <c r="M186" s="82"/>
      <c r="N186" s="82"/>
      <c r="O186" s="82"/>
      <c r="P186" s="82"/>
      <c r="Q186" s="82"/>
      <c r="R186" s="82">
        <v>1673195</v>
      </c>
      <c r="S186" s="82"/>
      <c r="T186" s="82"/>
      <c r="U186" s="82">
        <v>1673195</v>
      </c>
      <c r="V186" s="6">
        <f>+V185-Table_MAG_Ledger_Authorized[[#This Row],[Federal Amount]]</f>
        <v>29982082.00499998</v>
      </c>
      <c r="W186" s="6"/>
      <c r="Z186" s="5"/>
      <c r="AA186" s="109"/>
      <c r="AC186" s="18"/>
      <c r="AD186" s="110"/>
      <c r="AG186" s="7"/>
      <c r="AR186" s="6"/>
      <c r="BZ186" s="5"/>
      <c r="CF186" s="13"/>
    </row>
    <row r="187" spans="1:84" ht="45" x14ac:dyDescent="0.25">
      <c r="A187" s="80" t="s">
        <v>73</v>
      </c>
      <c r="B187" s="80" t="s">
        <v>303</v>
      </c>
      <c r="C187" s="80" t="s">
        <v>304</v>
      </c>
      <c r="D187" s="80" t="s">
        <v>61</v>
      </c>
      <c r="E187" s="80" t="s">
        <v>305</v>
      </c>
      <c r="F187" s="80" t="s">
        <v>306</v>
      </c>
      <c r="G187" s="80" t="s">
        <v>156</v>
      </c>
      <c r="H187" s="80" t="s">
        <v>24</v>
      </c>
      <c r="I187" s="81">
        <v>41532</v>
      </c>
      <c r="J187" s="81">
        <v>41533</v>
      </c>
      <c r="K187" s="81">
        <v>41535</v>
      </c>
      <c r="L187" s="82"/>
      <c r="M187" s="82"/>
      <c r="N187" s="82"/>
      <c r="O187" s="82"/>
      <c r="P187" s="82"/>
      <c r="Q187" s="82"/>
      <c r="R187" s="82">
        <v>321882</v>
      </c>
      <c r="S187" s="82"/>
      <c r="T187" s="82"/>
      <c r="U187" s="82">
        <v>321882</v>
      </c>
      <c r="V187" s="6">
        <f>+V186-Table_MAG_Ledger_Authorized[[#This Row],[Federal Amount]]</f>
        <v>29660200.00499998</v>
      </c>
      <c r="W187" s="6"/>
      <c r="Z187" s="5"/>
      <c r="AA187" s="109"/>
      <c r="AC187" s="18"/>
      <c r="AD187" s="110"/>
      <c r="AG187" s="7"/>
      <c r="AR187" s="6"/>
      <c r="BZ187" s="5"/>
      <c r="CF187" s="13"/>
    </row>
    <row r="188" spans="1:84" ht="30" x14ac:dyDescent="0.25">
      <c r="A188" s="80" t="s">
        <v>73</v>
      </c>
      <c r="B188" s="80" t="s">
        <v>307</v>
      </c>
      <c r="C188" s="80" t="s">
        <v>308</v>
      </c>
      <c r="D188" s="80" t="s">
        <v>62</v>
      </c>
      <c r="E188" s="80" t="s">
        <v>309</v>
      </c>
      <c r="F188" s="80" t="s">
        <v>310</v>
      </c>
      <c r="G188" s="80" t="s">
        <v>156</v>
      </c>
      <c r="H188" s="80" t="s">
        <v>4</v>
      </c>
      <c r="I188" s="81">
        <v>41359</v>
      </c>
      <c r="J188" s="81">
        <v>41360</v>
      </c>
      <c r="K188" s="81">
        <v>41367</v>
      </c>
      <c r="L188" s="82">
        <v>12150</v>
      </c>
      <c r="M188" s="82"/>
      <c r="N188" s="82"/>
      <c r="O188" s="82"/>
      <c r="P188" s="82"/>
      <c r="Q188" s="82"/>
      <c r="R188" s="82"/>
      <c r="S188" s="82"/>
      <c r="T188" s="82"/>
      <c r="U188" s="82">
        <v>12150</v>
      </c>
      <c r="V188" s="6">
        <f>+V187-Table_MAG_Ledger_Authorized[[#This Row],[Federal Amount]]</f>
        <v>29648050.00499998</v>
      </c>
      <c r="W188" s="6"/>
      <c r="Z188" s="5"/>
      <c r="AA188" s="109"/>
      <c r="AC188" s="18"/>
      <c r="AD188" s="110"/>
      <c r="AG188" s="7"/>
      <c r="AR188" s="6"/>
      <c r="BZ188" s="5"/>
      <c r="CF188" s="13"/>
    </row>
    <row r="189" spans="1:84" ht="30" x14ac:dyDescent="0.25">
      <c r="A189" s="80" t="s">
        <v>73</v>
      </c>
      <c r="B189" s="80" t="s">
        <v>307</v>
      </c>
      <c r="C189" s="80" t="s">
        <v>308</v>
      </c>
      <c r="D189" s="80" t="s">
        <v>62</v>
      </c>
      <c r="E189" s="80" t="s">
        <v>309</v>
      </c>
      <c r="F189" s="80" t="s">
        <v>310</v>
      </c>
      <c r="G189" s="80" t="s">
        <v>156</v>
      </c>
      <c r="H189" s="80" t="s">
        <v>3</v>
      </c>
      <c r="I189" s="81">
        <v>41199</v>
      </c>
      <c r="J189" s="81">
        <v>41204</v>
      </c>
      <c r="K189" s="81">
        <v>41220</v>
      </c>
      <c r="L189" s="82">
        <v>35000</v>
      </c>
      <c r="M189" s="82"/>
      <c r="N189" s="82"/>
      <c r="O189" s="82"/>
      <c r="P189" s="82"/>
      <c r="Q189" s="82"/>
      <c r="R189" s="82"/>
      <c r="S189" s="82"/>
      <c r="T189" s="82"/>
      <c r="U189" s="82">
        <v>35000</v>
      </c>
      <c r="V189" s="6">
        <f>+V188-Table_MAG_Ledger_Authorized[[#This Row],[Federal Amount]]</f>
        <v>29613050.00499998</v>
      </c>
      <c r="W189" s="6"/>
      <c r="Z189" s="5"/>
      <c r="AA189" s="109"/>
      <c r="AC189" s="18"/>
      <c r="AD189" s="110"/>
      <c r="AG189" s="7"/>
      <c r="AR189" s="6"/>
      <c r="BZ189" s="5"/>
      <c r="CF189" s="13"/>
    </row>
    <row r="190" spans="1:84" ht="45" x14ac:dyDescent="0.25">
      <c r="A190" s="80" t="s">
        <v>73</v>
      </c>
      <c r="B190" s="80" t="s">
        <v>398</v>
      </c>
      <c r="C190" s="80" t="s">
        <v>399</v>
      </c>
      <c r="D190" s="80" t="s">
        <v>60</v>
      </c>
      <c r="E190" s="80" t="s">
        <v>828</v>
      </c>
      <c r="F190" s="80" t="s">
        <v>400</v>
      </c>
      <c r="G190" s="80" t="s">
        <v>156</v>
      </c>
      <c r="H190" s="80" t="s">
        <v>3</v>
      </c>
      <c r="I190" s="81">
        <v>41520</v>
      </c>
      <c r="J190" s="81">
        <v>41533</v>
      </c>
      <c r="K190" s="81">
        <v>41535</v>
      </c>
      <c r="L190" s="82">
        <v>402739</v>
      </c>
      <c r="M190" s="82"/>
      <c r="N190" s="82"/>
      <c r="O190" s="82"/>
      <c r="P190" s="82"/>
      <c r="Q190" s="82"/>
      <c r="R190" s="82"/>
      <c r="S190" s="82"/>
      <c r="T190" s="82"/>
      <c r="U190" s="82">
        <v>402739</v>
      </c>
      <c r="V190" s="6">
        <f>+V189-Table_MAG_Ledger_Authorized[[#This Row],[Federal Amount]]</f>
        <v>29210311.00499998</v>
      </c>
      <c r="W190" s="6"/>
      <c r="Z190" s="5"/>
      <c r="AA190" s="109"/>
      <c r="AC190" s="18"/>
      <c r="AD190" s="110"/>
      <c r="AG190" s="7"/>
      <c r="AR190" s="6"/>
      <c r="BZ190" s="5"/>
      <c r="CF190" s="13"/>
    </row>
    <row r="191" spans="1:84" ht="45" x14ac:dyDescent="0.25">
      <c r="A191" s="80" t="s">
        <v>73</v>
      </c>
      <c r="B191" s="80" t="s">
        <v>401</v>
      </c>
      <c r="C191" s="80" t="s">
        <v>402</v>
      </c>
      <c r="D191" s="80" t="s">
        <v>60</v>
      </c>
      <c r="E191" s="80" t="s">
        <v>829</v>
      </c>
      <c r="F191" s="80" t="s">
        <v>403</v>
      </c>
      <c r="G191" s="80" t="s">
        <v>156</v>
      </c>
      <c r="H191" s="80" t="s">
        <v>3</v>
      </c>
      <c r="I191" s="81">
        <v>41528</v>
      </c>
      <c r="J191" s="81">
        <v>41533</v>
      </c>
      <c r="K191" s="81">
        <v>41536</v>
      </c>
      <c r="L191" s="82">
        <v>943000</v>
      </c>
      <c r="M191" s="82"/>
      <c r="N191" s="82"/>
      <c r="O191" s="82"/>
      <c r="P191" s="82"/>
      <c r="Q191" s="82"/>
      <c r="R191" s="82"/>
      <c r="S191" s="82"/>
      <c r="T191" s="82"/>
      <c r="U191" s="82">
        <v>943000</v>
      </c>
      <c r="V191" s="6">
        <f>+V190-Table_MAG_Ledger_Authorized[[#This Row],[Federal Amount]]</f>
        <v>28267311.00499998</v>
      </c>
      <c r="W191" s="6"/>
      <c r="Z191" s="5"/>
      <c r="AA191" s="109"/>
      <c r="AC191" s="18"/>
      <c r="AD191" s="110"/>
      <c r="AG191" s="7"/>
      <c r="AR191" s="6"/>
      <c r="BZ191" s="5"/>
      <c r="CF191" s="13"/>
    </row>
    <row r="192" spans="1:84" ht="30" x14ac:dyDescent="0.25">
      <c r="A192" s="80" t="s">
        <v>73</v>
      </c>
      <c r="B192" s="80" t="s">
        <v>551</v>
      </c>
      <c r="C192" s="80" t="s">
        <v>552</v>
      </c>
      <c r="D192" s="80" t="s">
        <v>60</v>
      </c>
      <c r="E192" s="80" t="s">
        <v>553</v>
      </c>
      <c r="F192" s="80" t="s">
        <v>554</v>
      </c>
      <c r="G192" s="80" t="s">
        <v>156</v>
      </c>
      <c r="H192" s="80" t="s">
        <v>24</v>
      </c>
      <c r="I192" s="81">
        <v>41532</v>
      </c>
      <c r="J192" s="81">
        <v>41533</v>
      </c>
      <c r="K192" s="81">
        <v>41535</v>
      </c>
      <c r="L192" s="82"/>
      <c r="M192" s="82"/>
      <c r="N192" s="82"/>
      <c r="O192" s="82"/>
      <c r="P192" s="82"/>
      <c r="Q192" s="82"/>
      <c r="R192" s="82">
        <v>2399794</v>
      </c>
      <c r="S192" s="82"/>
      <c r="T192" s="82"/>
      <c r="U192" s="82">
        <v>2399794</v>
      </c>
      <c r="V192" s="6">
        <f>+V191-Table_MAG_Ledger_Authorized[[#This Row],[Federal Amount]]</f>
        <v>25867517.00499998</v>
      </c>
      <c r="W192" s="6"/>
      <c r="Z192" s="5"/>
      <c r="AA192" s="109"/>
      <c r="AC192" s="18"/>
      <c r="AD192" s="110"/>
      <c r="AG192" s="7"/>
      <c r="AR192" s="6"/>
      <c r="BZ192" s="5"/>
      <c r="CF192" s="13"/>
    </row>
    <row r="193" spans="1:84" ht="75" x14ac:dyDescent="0.25">
      <c r="A193" s="80" t="s">
        <v>73</v>
      </c>
      <c r="B193" s="80" t="s">
        <v>517</v>
      </c>
      <c r="C193" s="80" t="s">
        <v>518</v>
      </c>
      <c r="D193" s="80" t="s">
        <v>62</v>
      </c>
      <c r="E193" s="80" t="s">
        <v>519</v>
      </c>
      <c r="F193" s="80" t="s">
        <v>520</v>
      </c>
      <c r="G193" s="80" t="s">
        <v>156</v>
      </c>
      <c r="H193" s="80" t="s">
        <v>3</v>
      </c>
      <c r="I193" s="81">
        <v>41404</v>
      </c>
      <c r="J193" s="81">
        <v>41425</v>
      </c>
      <c r="K193" s="81">
        <v>41435</v>
      </c>
      <c r="L193" s="82">
        <v>300000</v>
      </c>
      <c r="M193" s="82"/>
      <c r="N193" s="82"/>
      <c r="O193" s="82"/>
      <c r="P193" s="82"/>
      <c r="Q193" s="82"/>
      <c r="R193" s="82"/>
      <c r="S193" s="82"/>
      <c r="T193" s="82"/>
      <c r="U193" s="82">
        <v>300000</v>
      </c>
      <c r="V193" s="6">
        <f>+V192-Table_MAG_Ledger_Authorized[[#This Row],[Federal Amount]]</f>
        <v>25567517.00499998</v>
      </c>
      <c r="W193" s="74"/>
      <c r="Z193" s="5"/>
      <c r="AA193" s="109"/>
      <c r="AC193" s="18"/>
      <c r="AD193" s="110"/>
      <c r="AG193" s="7"/>
      <c r="AR193" s="6"/>
      <c r="BZ193" s="5"/>
      <c r="CF193" s="13"/>
    </row>
    <row r="194" spans="1:84" ht="30" x14ac:dyDescent="0.25">
      <c r="A194" s="80" t="s">
        <v>73</v>
      </c>
      <c r="B194" s="80" t="s">
        <v>521</v>
      </c>
      <c r="C194" s="80" t="s">
        <v>522</v>
      </c>
      <c r="D194" s="80" t="s">
        <v>62</v>
      </c>
      <c r="E194" s="80" t="s">
        <v>523</v>
      </c>
      <c r="F194" s="80" t="s">
        <v>524</v>
      </c>
      <c r="G194" s="80" t="s">
        <v>156</v>
      </c>
      <c r="H194" s="80" t="s">
        <v>3</v>
      </c>
      <c r="I194" s="81">
        <v>41404</v>
      </c>
      <c r="J194" s="81">
        <v>41425</v>
      </c>
      <c r="K194" s="81">
        <v>41432</v>
      </c>
      <c r="L194" s="82">
        <v>220000</v>
      </c>
      <c r="M194" s="82"/>
      <c r="N194" s="82"/>
      <c r="O194" s="82"/>
      <c r="P194" s="82"/>
      <c r="Q194" s="82"/>
      <c r="R194" s="82"/>
      <c r="S194" s="82"/>
      <c r="T194" s="82"/>
      <c r="U194" s="82">
        <v>220000</v>
      </c>
      <c r="V194" s="6">
        <f>+V193-Table_MAG_Ledger_Authorized[[#This Row],[Federal Amount]]</f>
        <v>25347517.00499998</v>
      </c>
      <c r="W194" s="74"/>
      <c r="Z194" s="5"/>
      <c r="AA194" s="109"/>
      <c r="AC194" s="18"/>
      <c r="AD194" s="117"/>
      <c r="AG194" s="7"/>
      <c r="AR194" s="6"/>
      <c r="BZ194" s="5"/>
      <c r="CF194" s="13"/>
    </row>
    <row r="195" spans="1:84" ht="60" x14ac:dyDescent="0.25">
      <c r="A195" s="80" t="s">
        <v>73</v>
      </c>
      <c r="B195" s="80" t="s">
        <v>525</v>
      </c>
      <c r="C195" s="80" t="s">
        <v>526</v>
      </c>
      <c r="D195" s="80" t="s">
        <v>62</v>
      </c>
      <c r="E195" s="80" t="s">
        <v>527</v>
      </c>
      <c r="F195" s="80" t="s">
        <v>528</v>
      </c>
      <c r="G195" s="80" t="s">
        <v>156</v>
      </c>
      <c r="H195" s="80" t="s">
        <v>3</v>
      </c>
      <c r="I195" s="81">
        <v>41404</v>
      </c>
      <c r="J195" s="81">
        <v>41425</v>
      </c>
      <c r="K195" s="81">
        <v>41432</v>
      </c>
      <c r="L195" s="82">
        <v>37500</v>
      </c>
      <c r="M195" s="82"/>
      <c r="N195" s="82"/>
      <c r="O195" s="82"/>
      <c r="P195" s="82"/>
      <c r="Q195" s="82"/>
      <c r="R195" s="82"/>
      <c r="S195" s="82"/>
      <c r="T195" s="82"/>
      <c r="U195" s="82">
        <v>37500</v>
      </c>
      <c r="V195" s="6">
        <f>+V194-Table_MAG_Ledger_Authorized[[#This Row],[Federal Amount]]</f>
        <v>25310017.00499998</v>
      </c>
      <c r="W195" s="74"/>
      <c r="Z195" s="5"/>
      <c r="AA195" s="109"/>
      <c r="AC195" s="18"/>
      <c r="AD195" s="118"/>
      <c r="AG195" s="7"/>
      <c r="AR195" s="6"/>
      <c r="BZ195" s="5"/>
      <c r="CF195" s="13"/>
    </row>
    <row r="196" spans="1:84" ht="30" x14ac:dyDescent="0.25">
      <c r="A196" s="80" t="s">
        <v>73</v>
      </c>
      <c r="B196" s="80" t="s">
        <v>404</v>
      </c>
      <c r="C196" s="80" t="s">
        <v>405</v>
      </c>
      <c r="D196" s="80" t="s">
        <v>62</v>
      </c>
      <c r="E196" s="80" t="s">
        <v>406</v>
      </c>
      <c r="F196" s="80" t="s">
        <v>407</v>
      </c>
      <c r="G196" s="80" t="s">
        <v>152</v>
      </c>
      <c r="H196" s="80" t="s">
        <v>3</v>
      </c>
      <c r="I196" s="81">
        <v>41435</v>
      </c>
      <c r="J196" s="81">
        <v>41446</v>
      </c>
      <c r="K196" s="81">
        <v>41453</v>
      </c>
      <c r="L196" s="82"/>
      <c r="M196" s="82"/>
      <c r="N196" s="82">
        <v>647765</v>
      </c>
      <c r="O196" s="82"/>
      <c r="P196" s="82"/>
      <c r="Q196" s="82"/>
      <c r="R196" s="82"/>
      <c r="S196" s="82"/>
      <c r="T196" s="82"/>
      <c r="U196" s="82">
        <v>647765</v>
      </c>
      <c r="V196" s="6">
        <f>+V195-Table_MAG_Ledger_Authorized[[#This Row],[Federal Amount]]</f>
        <v>24662252.00499998</v>
      </c>
      <c r="W196" s="74"/>
      <c r="Z196" s="5"/>
      <c r="AA196" s="109"/>
      <c r="AC196" s="18"/>
      <c r="AD196" s="118"/>
      <c r="AG196" s="7"/>
      <c r="AR196" s="6"/>
      <c r="BZ196" s="5"/>
      <c r="CF196" s="13"/>
    </row>
    <row r="197" spans="1:84" ht="30" x14ac:dyDescent="0.25">
      <c r="A197" s="80" t="s">
        <v>73</v>
      </c>
      <c r="B197" s="80" t="s">
        <v>408</v>
      </c>
      <c r="C197" s="80" t="s">
        <v>409</v>
      </c>
      <c r="D197" s="80" t="s">
        <v>62</v>
      </c>
      <c r="E197" s="80" t="s">
        <v>410</v>
      </c>
      <c r="F197" s="80" t="s">
        <v>411</v>
      </c>
      <c r="G197" s="80" t="s">
        <v>152</v>
      </c>
      <c r="H197" s="80" t="s">
        <v>3</v>
      </c>
      <c r="I197" s="81">
        <v>41435</v>
      </c>
      <c r="J197" s="81">
        <v>41446</v>
      </c>
      <c r="K197" s="81">
        <v>41453</v>
      </c>
      <c r="L197" s="82"/>
      <c r="M197" s="82"/>
      <c r="N197" s="82">
        <v>775618</v>
      </c>
      <c r="O197" s="82"/>
      <c r="P197" s="82"/>
      <c r="Q197" s="82"/>
      <c r="R197" s="82"/>
      <c r="S197" s="82"/>
      <c r="T197" s="82"/>
      <c r="U197" s="82">
        <v>775618</v>
      </c>
      <c r="V197" s="6">
        <f>+V196-Table_MAG_Ledger_Authorized[[#This Row],[Federal Amount]]</f>
        <v>23886634.00499998</v>
      </c>
      <c r="W197" s="74"/>
      <c r="Z197" s="5"/>
      <c r="AA197" s="109"/>
      <c r="AC197" s="18"/>
      <c r="AD197" s="118"/>
      <c r="AG197" s="7"/>
      <c r="AR197" s="6"/>
      <c r="BZ197" s="5"/>
      <c r="CF197" s="13"/>
    </row>
    <row r="198" spans="1:84" x14ac:dyDescent="0.25">
      <c r="A198" s="80" t="s">
        <v>73</v>
      </c>
      <c r="B198" s="80" t="s">
        <v>412</v>
      </c>
      <c r="C198" s="80" t="s">
        <v>413</v>
      </c>
      <c r="D198" s="80" t="s">
        <v>62</v>
      </c>
      <c r="E198" s="80" t="s">
        <v>414</v>
      </c>
      <c r="F198" s="80" t="s">
        <v>415</v>
      </c>
      <c r="G198" s="80" t="s">
        <v>152</v>
      </c>
      <c r="H198" s="80" t="s">
        <v>3</v>
      </c>
      <c r="I198" s="81">
        <v>41453</v>
      </c>
      <c r="J198" s="81">
        <v>41467</v>
      </c>
      <c r="K198" s="81">
        <v>41497</v>
      </c>
      <c r="L198" s="82">
        <v>56580</v>
      </c>
      <c r="M198" s="82"/>
      <c r="N198" s="82"/>
      <c r="O198" s="82"/>
      <c r="P198" s="82"/>
      <c r="Q198" s="82"/>
      <c r="R198" s="82"/>
      <c r="S198" s="82"/>
      <c r="T198" s="82"/>
      <c r="U198" s="82">
        <v>56580</v>
      </c>
      <c r="V198" s="6">
        <f>+V197-Table_MAG_Ledger_Authorized[[#This Row],[Federal Amount]]</f>
        <v>23830054.00499998</v>
      </c>
      <c r="W198" s="74"/>
      <c r="Z198" s="5"/>
      <c r="AA198" s="109"/>
      <c r="AC198" s="18"/>
      <c r="AD198" s="118"/>
      <c r="AG198" s="7"/>
      <c r="AR198" s="6"/>
      <c r="BZ198" s="5"/>
      <c r="CF198" s="13"/>
    </row>
    <row r="199" spans="1:84" ht="30" x14ac:dyDescent="0.25">
      <c r="A199" s="80" t="s">
        <v>73</v>
      </c>
      <c r="B199" s="80" t="s">
        <v>416</v>
      </c>
      <c r="C199" s="80" t="s">
        <v>417</v>
      </c>
      <c r="D199" s="80" t="s">
        <v>60</v>
      </c>
      <c r="E199" s="80" t="s">
        <v>418</v>
      </c>
      <c r="F199" s="80" t="s">
        <v>419</v>
      </c>
      <c r="G199" s="80" t="s">
        <v>103</v>
      </c>
      <c r="H199" s="80" t="s">
        <v>3</v>
      </c>
      <c r="I199" s="81">
        <v>41478</v>
      </c>
      <c r="J199" s="81">
        <v>41491</v>
      </c>
      <c r="K199" s="81">
        <v>41505</v>
      </c>
      <c r="L199" s="82">
        <v>737031</v>
      </c>
      <c r="M199" s="82"/>
      <c r="N199" s="82"/>
      <c r="O199" s="82"/>
      <c r="P199" s="82"/>
      <c r="Q199" s="82"/>
      <c r="R199" s="82"/>
      <c r="S199" s="82"/>
      <c r="T199" s="82"/>
      <c r="U199" s="82">
        <v>737031</v>
      </c>
      <c r="V199" s="6">
        <f>+V198-Table_MAG_Ledger_Authorized[[#This Row],[Federal Amount]]</f>
        <v>23093023.00499998</v>
      </c>
      <c r="W199" s="74"/>
      <c r="Z199" s="5"/>
      <c r="AA199" s="109"/>
      <c r="AC199" s="18"/>
      <c r="AD199" s="118"/>
      <c r="AG199" s="7"/>
      <c r="AR199" s="6"/>
      <c r="BZ199" s="5"/>
      <c r="CF199" s="13"/>
    </row>
    <row r="200" spans="1:84" ht="45" x14ac:dyDescent="0.25">
      <c r="A200" s="80" t="s">
        <v>73</v>
      </c>
      <c r="B200" s="80" t="s">
        <v>420</v>
      </c>
      <c r="C200" s="80" t="s">
        <v>421</v>
      </c>
      <c r="D200" s="80" t="s">
        <v>60</v>
      </c>
      <c r="E200" s="80" t="s">
        <v>622</v>
      </c>
      <c r="F200" s="80" t="s">
        <v>422</v>
      </c>
      <c r="G200" s="80" t="s">
        <v>103</v>
      </c>
      <c r="H200" s="80" t="s">
        <v>3</v>
      </c>
      <c r="I200" s="81">
        <v>41471</v>
      </c>
      <c r="J200" s="81">
        <v>41522</v>
      </c>
      <c r="K200" s="81">
        <v>41534</v>
      </c>
      <c r="L200" s="82">
        <v>1414500</v>
      </c>
      <c r="M200" s="82"/>
      <c r="N200" s="82"/>
      <c r="O200" s="82"/>
      <c r="P200" s="82"/>
      <c r="Q200" s="82"/>
      <c r="R200" s="82"/>
      <c r="S200" s="82"/>
      <c r="T200" s="82"/>
      <c r="U200" s="82">
        <v>1414500</v>
      </c>
      <c r="V200" s="6">
        <f>+V199-Table_MAG_Ledger_Authorized[[#This Row],[Federal Amount]]</f>
        <v>21678523.00499998</v>
      </c>
      <c r="W200" s="74"/>
      <c r="Z200" s="5"/>
      <c r="AA200" s="109"/>
      <c r="AC200" s="18"/>
      <c r="AD200" s="118"/>
      <c r="AG200" s="7"/>
      <c r="AR200" s="6"/>
      <c r="BZ200" s="5"/>
      <c r="CF200" s="13"/>
    </row>
    <row r="201" spans="1:84" ht="30" x14ac:dyDescent="0.25">
      <c r="A201" s="80" t="s">
        <v>73</v>
      </c>
      <c r="B201" s="80" t="s">
        <v>311</v>
      </c>
      <c r="C201" s="80" t="s">
        <v>312</v>
      </c>
      <c r="D201" s="80" t="s">
        <v>62</v>
      </c>
      <c r="E201" s="80" t="s">
        <v>313</v>
      </c>
      <c r="F201" s="80" t="s">
        <v>314</v>
      </c>
      <c r="G201" s="80" t="s">
        <v>103</v>
      </c>
      <c r="H201" s="80" t="s">
        <v>4</v>
      </c>
      <c r="I201" s="81">
        <v>41349</v>
      </c>
      <c r="J201" s="81">
        <v>41351</v>
      </c>
      <c r="K201" s="81">
        <v>41355</v>
      </c>
      <c r="L201" s="82"/>
      <c r="M201" s="82"/>
      <c r="N201" s="82"/>
      <c r="O201" s="82"/>
      <c r="P201" s="82"/>
      <c r="Q201" s="82"/>
      <c r="R201" s="82">
        <v>296102</v>
      </c>
      <c r="S201" s="82"/>
      <c r="T201" s="82"/>
      <c r="U201" s="82">
        <v>296102</v>
      </c>
      <c r="V201" s="6">
        <f>+V200-Table_MAG_Ledger_Authorized[[#This Row],[Federal Amount]]</f>
        <v>21382421.00499998</v>
      </c>
      <c r="W201" s="74"/>
      <c r="Z201" s="5"/>
      <c r="AA201" s="109"/>
      <c r="AC201" s="18"/>
      <c r="AD201" s="118"/>
      <c r="AG201" s="7"/>
      <c r="AR201" s="6"/>
      <c r="BZ201" s="5"/>
      <c r="CF201" s="13"/>
    </row>
    <row r="202" spans="1:84" ht="30" x14ac:dyDescent="0.25">
      <c r="A202" s="80" t="s">
        <v>73</v>
      </c>
      <c r="B202" s="80" t="s">
        <v>311</v>
      </c>
      <c r="C202" s="80" t="s">
        <v>312</v>
      </c>
      <c r="D202" s="80" t="s">
        <v>62</v>
      </c>
      <c r="E202" s="80" t="s">
        <v>313</v>
      </c>
      <c r="F202" s="80" t="s">
        <v>314</v>
      </c>
      <c r="G202" s="80" t="s">
        <v>103</v>
      </c>
      <c r="H202" s="80" t="s">
        <v>4</v>
      </c>
      <c r="I202" s="81">
        <v>41381</v>
      </c>
      <c r="J202" s="81">
        <v>41400</v>
      </c>
      <c r="K202" s="81">
        <v>41403</v>
      </c>
      <c r="L202" s="82"/>
      <c r="M202" s="82"/>
      <c r="N202" s="82"/>
      <c r="O202" s="82"/>
      <c r="P202" s="82"/>
      <c r="Q202" s="82"/>
      <c r="R202" s="82">
        <v>282900</v>
      </c>
      <c r="S202" s="82"/>
      <c r="T202" s="82"/>
      <c r="U202" s="82">
        <v>282900</v>
      </c>
      <c r="V202" s="6">
        <f>+V201-Table_MAG_Ledger_Authorized[[#This Row],[Federal Amount]]</f>
        <v>21099521.00499998</v>
      </c>
      <c r="W202" s="74"/>
      <c r="Z202" s="5"/>
      <c r="AA202" s="109"/>
      <c r="AC202" s="18"/>
      <c r="AD202" s="118"/>
      <c r="AG202" s="7"/>
      <c r="AR202" s="6"/>
      <c r="BZ202" s="5"/>
      <c r="CF202" s="13"/>
    </row>
    <row r="203" spans="1:84" x14ac:dyDescent="0.25">
      <c r="A203" s="80" t="s">
        <v>73</v>
      </c>
      <c r="B203" s="80" t="s">
        <v>723</v>
      </c>
      <c r="C203" s="80" t="s">
        <v>558</v>
      </c>
      <c r="D203" s="80" t="s">
        <v>60</v>
      </c>
      <c r="E203" s="80" t="s">
        <v>556</v>
      </c>
      <c r="F203" s="80" t="s">
        <v>559</v>
      </c>
      <c r="G203" s="80" t="s">
        <v>103</v>
      </c>
      <c r="H203" s="80" t="s">
        <v>3</v>
      </c>
      <c r="I203" s="81">
        <v>41470</v>
      </c>
      <c r="J203" s="81">
        <v>41522</v>
      </c>
      <c r="K203" s="81">
        <v>41534</v>
      </c>
      <c r="L203" s="82"/>
      <c r="M203" s="82"/>
      <c r="N203" s="82"/>
      <c r="O203" s="82"/>
      <c r="P203" s="82"/>
      <c r="Q203" s="82"/>
      <c r="R203" s="82"/>
      <c r="S203" s="82"/>
      <c r="T203" s="82">
        <v>1131600</v>
      </c>
      <c r="U203" s="82">
        <v>1131600</v>
      </c>
      <c r="V203" s="6">
        <f>+V202-Table_MAG_Ledger_Authorized[[#This Row],[Federal Amount]]</f>
        <v>19967921.00499998</v>
      </c>
      <c r="W203" s="74"/>
      <c r="Z203" s="5"/>
      <c r="AA203" s="109"/>
      <c r="AC203" s="18"/>
      <c r="AD203" s="118"/>
      <c r="AG203" s="7"/>
      <c r="AR203" s="6"/>
      <c r="BZ203" s="5"/>
      <c r="CF203" s="13"/>
    </row>
    <row r="204" spans="1:84" ht="30" x14ac:dyDescent="0.25">
      <c r="A204" s="80" t="s">
        <v>73</v>
      </c>
      <c r="B204" s="80" t="s">
        <v>423</v>
      </c>
      <c r="C204" s="80" t="s">
        <v>424</v>
      </c>
      <c r="D204" s="80" t="s">
        <v>61</v>
      </c>
      <c r="E204" s="80" t="s">
        <v>425</v>
      </c>
      <c r="F204" s="80" t="s">
        <v>426</v>
      </c>
      <c r="G204" s="80" t="s">
        <v>103</v>
      </c>
      <c r="H204" s="80" t="s">
        <v>3</v>
      </c>
      <c r="I204" s="81">
        <v>41411</v>
      </c>
      <c r="J204" s="81">
        <v>41429</v>
      </c>
      <c r="K204" s="81">
        <v>41437</v>
      </c>
      <c r="L204" s="82"/>
      <c r="M204" s="82"/>
      <c r="N204" s="82">
        <v>41492</v>
      </c>
      <c r="O204" s="82"/>
      <c r="P204" s="82"/>
      <c r="Q204" s="82"/>
      <c r="R204" s="82"/>
      <c r="S204" s="82"/>
      <c r="T204" s="82"/>
      <c r="U204" s="82">
        <v>41492</v>
      </c>
      <c r="V204" s="6">
        <f>+V203-Table_MAG_Ledger_Authorized[[#This Row],[Federal Amount]]</f>
        <v>19926429.00499998</v>
      </c>
      <c r="W204" s="74"/>
      <c r="Z204" s="5"/>
      <c r="AA204" s="109"/>
      <c r="AC204" s="18"/>
      <c r="AD204" s="118"/>
      <c r="AG204" s="7"/>
      <c r="AR204" s="6"/>
      <c r="BZ204" s="5"/>
      <c r="CF204" s="13"/>
    </row>
    <row r="205" spans="1:84" ht="30" x14ac:dyDescent="0.25">
      <c r="A205" s="80" t="s">
        <v>73</v>
      </c>
      <c r="B205" s="80" t="s">
        <v>830</v>
      </c>
      <c r="C205" s="80" t="s">
        <v>831</v>
      </c>
      <c r="D205" s="80" t="s">
        <v>60</v>
      </c>
      <c r="E205" s="80" t="s">
        <v>832</v>
      </c>
      <c r="F205" s="80" t="s">
        <v>833</v>
      </c>
      <c r="G205" s="80" t="s">
        <v>103</v>
      </c>
      <c r="H205" s="80" t="s">
        <v>4</v>
      </c>
      <c r="I205" s="81">
        <v>41527</v>
      </c>
      <c r="J205" s="81">
        <v>41533</v>
      </c>
      <c r="K205" s="81">
        <v>41534</v>
      </c>
      <c r="L205" s="82">
        <v>84776</v>
      </c>
      <c r="M205" s="82"/>
      <c r="N205" s="82"/>
      <c r="O205" s="82"/>
      <c r="P205" s="82"/>
      <c r="Q205" s="82"/>
      <c r="R205" s="82"/>
      <c r="S205" s="82"/>
      <c r="T205" s="82"/>
      <c r="U205" s="82">
        <v>84776</v>
      </c>
      <c r="V205" s="6">
        <f>+V204-Table_MAG_Ledger_Authorized[[#This Row],[Federal Amount]]</f>
        <v>19841653.00499998</v>
      </c>
      <c r="W205" s="74"/>
      <c r="Z205" s="5"/>
      <c r="AA205" s="109"/>
      <c r="AC205" s="18"/>
      <c r="AD205" s="118"/>
      <c r="AG205" s="7"/>
      <c r="AR205" s="6"/>
      <c r="BZ205" s="5"/>
      <c r="CF205" s="13"/>
    </row>
    <row r="206" spans="1:84" ht="45" x14ac:dyDescent="0.25">
      <c r="A206" s="80" t="s">
        <v>73</v>
      </c>
      <c r="B206" s="80" t="s">
        <v>427</v>
      </c>
      <c r="C206" s="80" t="s">
        <v>724</v>
      </c>
      <c r="D206" s="80" t="s">
        <v>62</v>
      </c>
      <c r="E206" s="80" t="s">
        <v>725</v>
      </c>
      <c r="F206" s="80" t="s">
        <v>726</v>
      </c>
      <c r="G206" s="80" t="s">
        <v>103</v>
      </c>
      <c r="H206" s="80" t="s">
        <v>3</v>
      </c>
      <c r="I206" s="81">
        <v>41477</v>
      </c>
      <c r="J206" s="81">
        <v>41522</v>
      </c>
      <c r="K206" s="81">
        <v>41535</v>
      </c>
      <c r="L206" s="82">
        <v>94300</v>
      </c>
      <c r="M206" s="82"/>
      <c r="N206" s="82"/>
      <c r="O206" s="82"/>
      <c r="P206" s="82"/>
      <c r="Q206" s="82"/>
      <c r="R206" s="82"/>
      <c r="S206" s="82"/>
      <c r="T206" s="82"/>
      <c r="U206" s="82">
        <v>94300</v>
      </c>
      <c r="V206" s="6">
        <f>+V205-Table_MAG_Ledger_Authorized[[#This Row],[Federal Amount]]</f>
        <v>19747353.00499998</v>
      </c>
      <c r="W206" s="74"/>
      <c r="Z206" s="5"/>
      <c r="AA206" s="109"/>
      <c r="AC206" s="18"/>
      <c r="AD206" s="118"/>
      <c r="AG206" s="7"/>
      <c r="AR206" s="6"/>
      <c r="BZ206" s="5"/>
      <c r="CF206" s="13"/>
    </row>
    <row r="207" spans="1:84" x14ac:dyDescent="0.25">
      <c r="A207" s="80" t="s">
        <v>73</v>
      </c>
      <c r="B207" s="80" t="s">
        <v>428</v>
      </c>
      <c r="C207" s="80" t="s">
        <v>429</v>
      </c>
      <c r="D207" s="80" t="s">
        <v>60</v>
      </c>
      <c r="E207" s="80" t="s">
        <v>430</v>
      </c>
      <c r="F207" s="80" t="s">
        <v>431</v>
      </c>
      <c r="G207" s="80" t="s">
        <v>103</v>
      </c>
      <c r="H207" s="80" t="s">
        <v>3</v>
      </c>
      <c r="I207" s="81">
        <v>41532</v>
      </c>
      <c r="J207" s="81">
        <v>41533</v>
      </c>
      <c r="K207" s="81">
        <v>41536</v>
      </c>
      <c r="L207" s="82"/>
      <c r="M207" s="82"/>
      <c r="N207" s="82"/>
      <c r="O207" s="82"/>
      <c r="P207" s="82"/>
      <c r="Q207" s="82"/>
      <c r="R207" s="82">
        <v>6168197</v>
      </c>
      <c r="S207" s="82"/>
      <c r="T207" s="82"/>
      <c r="U207" s="82">
        <v>6168197</v>
      </c>
      <c r="V207" s="6">
        <f>+V206-Table_MAG_Ledger_Authorized[[#This Row],[Federal Amount]]</f>
        <v>13579156.00499998</v>
      </c>
      <c r="W207" s="74"/>
      <c r="Z207" s="5"/>
      <c r="AA207" s="109"/>
      <c r="AC207" s="18"/>
      <c r="AD207" s="118"/>
      <c r="AG207" s="7"/>
      <c r="AR207" s="6"/>
      <c r="BZ207" s="5"/>
      <c r="CF207" s="13"/>
    </row>
    <row r="208" spans="1:84" x14ac:dyDescent="0.25">
      <c r="A208" s="80" t="s">
        <v>73</v>
      </c>
      <c r="B208" s="80" t="s">
        <v>428</v>
      </c>
      <c r="C208" s="80" t="s">
        <v>429</v>
      </c>
      <c r="D208" s="80" t="s">
        <v>62</v>
      </c>
      <c r="E208" s="80" t="s">
        <v>430</v>
      </c>
      <c r="F208" s="80" t="s">
        <v>431</v>
      </c>
      <c r="G208" s="80" t="s">
        <v>103</v>
      </c>
      <c r="H208" s="80" t="s">
        <v>3</v>
      </c>
      <c r="I208" s="81">
        <v>41431</v>
      </c>
      <c r="J208" s="81">
        <v>41450</v>
      </c>
      <c r="K208" s="81">
        <v>41453</v>
      </c>
      <c r="L208" s="82"/>
      <c r="M208" s="82"/>
      <c r="N208" s="82"/>
      <c r="O208" s="82"/>
      <c r="P208" s="82"/>
      <c r="Q208" s="82"/>
      <c r="R208" s="82">
        <v>0</v>
      </c>
      <c r="S208" s="82"/>
      <c r="T208" s="82"/>
      <c r="U208" s="82">
        <v>0</v>
      </c>
      <c r="V208" s="6">
        <f>+V207-Table_MAG_Ledger_Authorized[[#This Row],[Federal Amount]]</f>
        <v>13579156.00499998</v>
      </c>
      <c r="W208" s="74"/>
      <c r="Z208" s="5"/>
      <c r="AA208" s="109"/>
      <c r="AC208" s="18"/>
      <c r="AD208" s="118"/>
      <c r="AG208" s="7"/>
      <c r="AR208" s="6"/>
      <c r="BZ208" s="5"/>
      <c r="CF208" s="13"/>
    </row>
    <row r="209" spans="1:84" ht="45" x14ac:dyDescent="0.25">
      <c r="A209" s="80" t="s">
        <v>73</v>
      </c>
      <c r="B209" s="80" t="s">
        <v>432</v>
      </c>
      <c r="C209" s="80" t="s">
        <v>433</v>
      </c>
      <c r="D209" s="80" t="s">
        <v>60</v>
      </c>
      <c r="E209" s="80" t="s">
        <v>434</v>
      </c>
      <c r="F209" s="80" t="s">
        <v>435</v>
      </c>
      <c r="G209" s="80" t="s">
        <v>103</v>
      </c>
      <c r="H209" s="80" t="s">
        <v>3</v>
      </c>
      <c r="I209" s="81">
        <v>41471</v>
      </c>
      <c r="J209" s="81">
        <v>41522</v>
      </c>
      <c r="K209" s="81">
        <v>41534</v>
      </c>
      <c r="L209" s="82">
        <v>1579761</v>
      </c>
      <c r="M209" s="82"/>
      <c r="N209" s="82"/>
      <c r="O209" s="82"/>
      <c r="P209" s="82"/>
      <c r="Q209" s="82"/>
      <c r="R209" s="82"/>
      <c r="S209" s="82"/>
      <c r="T209" s="82"/>
      <c r="U209" s="82">
        <v>1579761</v>
      </c>
      <c r="V209" s="6">
        <f>+V208-Table_MAG_Ledger_Authorized[[#This Row],[Federal Amount]]</f>
        <v>11999395.00499998</v>
      </c>
      <c r="W209" s="74"/>
      <c r="Z209" s="5"/>
      <c r="AA209" s="109"/>
      <c r="AC209" s="18"/>
      <c r="AD209" s="118"/>
      <c r="AG209" s="7"/>
      <c r="AR209" s="6"/>
      <c r="BZ209" s="5"/>
      <c r="CF209" s="13"/>
    </row>
    <row r="210" spans="1:84" ht="45" x14ac:dyDescent="0.25">
      <c r="A210" s="80" t="s">
        <v>73</v>
      </c>
      <c r="B210" s="80" t="s">
        <v>436</v>
      </c>
      <c r="C210" s="80" t="s">
        <v>437</v>
      </c>
      <c r="D210" s="80" t="s">
        <v>60</v>
      </c>
      <c r="E210" s="80" t="s">
        <v>438</v>
      </c>
      <c r="F210" s="80" t="s">
        <v>439</v>
      </c>
      <c r="G210" s="80" t="s">
        <v>103</v>
      </c>
      <c r="H210" s="80" t="s">
        <v>3</v>
      </c>
      <c r="I210" s="81">
        <v>41473</v>
      </c>
      <c r="J210" s="81">
        <v>41491</v>
      </c>
      <c r="K210" s="81">
        <v>41505</v>
      </c>
      <c r="L210" s="82">
        <v>455469</v>
      </c>
      <c r="M210" s="82"/>
      <c r="N210" s="82"/>
      <c r="O210" s="82"/>
      <c r="P210" s="82"/>
      <c r="Q210" s="82"/>
      <c r="R210" s="82"/>
      <c r="S210" s="82"/>
      <c r="T210" s="82"/>
      <c r="U210" s="82">
        <v>455469</v>
      </c>
      <c r="V210" s="6">
        <f>+V209-Table_MAG_Ledger_Authorized[[#This Row],[Federal Amount]]</f>
        <v>11543926.00499998</v>
      </c>
      <c r="W210" s="74"/>
      <c r="Z210" s="5"/>
      <c r="AA210" s="109"/>
      <c r="AC210" s="18"/>
      <c r="AD210" s="118"/>
      <c r="AG210" s="7"/>
      <c r="AR210" s="6"/>
      <c r="BZ210" s="5"/>
      <c r="CF210" s="13"/>
    </row>
    <row r="211" spans="1:84" x14ac:dyDescent="0.25">
      <c r="A211" s="80" t="s">
        <v>73</v>
      </c>
      <c r="B211" s="80" t="s">
        <v>555</v>
      </c>
      <c r="C211" s="80" t="s">
        <v>623</v>
      </c>
      <c r="D211" s="80" t="s">
        <v>62</v>
      </c>
      <c r="E211" s="80" t="s">
        <v>624</v>
      </c>
      <c r="F211" s="80" t="s">
        <v>625</v>
      </c>
      <c r="G211" s="80" t="s">
        <v>103</v>
      </c>
      <c r="H211" s="80" t="s">
        <v>3</v>
      </c>
      <c r="I211" s="81">
        <v>41458</v>
      </c>
      <c r="J211" s="81">
        <v>41523</v>
      </c>
      <c r="K211" s="81">
        <v>41535</v>
      </c>
      <c r="L211" s="82">
        <v>50000</v>
      </c>
      <c r="M211" s="82"/>
      <c r="N211" s="82"/>
      <c r="O211" s="82"/>
      <c r="P211" s="82"/>
      <c r="Q211" s="82"/>
      <c r="R211" s="82"/>
      <c r="S211" s="82"/>
      <c r="T211" s="82"/>
      <c r="U211" s="82">
        <v>50000</v>
      </c>
      <c r="V211" s="6">
        <f>+V210-Table_MAG_Ledger_Authorized[[#This Row],[Federal Amount]]</f>
        <v>11493926.00499998</v>
      </c>
      <c r="W211" s="74"/>
      <c r="Z211" s="5"/>
      <c r="AA211" s="109"/>
      <c r="AC211" s="18"/>
      <c r="AD211" s="118"/>
      <c r="AG211" s="7"/>
      <c r="AR211" s="6"/>
      <c r="BZ211" s="5"/>
      <c r="CF211" s="13"/>
    </row>
    <row r="212" spans="1:84" ht="30" x14ac:dyDescent="0.25">
      <c r="A212" s="80" t="s">
        <v>73</v>
      </c>
      <c r="B212" s="80" t="s">
        <v>557</v>
      </c>
      <c r="C212" s="80" t="s">
        <v>727</v>
      </c>
      <c r="D212" s="80" t="s">
        <v>62</v>
      </c>
      <c r="E212" s="80" t="s">
        <v>728</v>
      </c>
      <c r="F212" s="80" t="s">
        <v>729</v>
      </c>
      <c r="G212" s="80" t="s">
        <v>103</v>
      </c>
      <c r="H212" s="80" t="s">
        <v>3</v>
      </c>
      <c r="I212" s="81">
        <v>41477</v>
      </c>
      <c r="J212" s="81">
        <v>41523</v>
      </c>
      <c r="K212" s="81">
        <v>41535</v>
      </c>
      <c r="L212" s="82">
        <v>99000</v>
      </c>
      <c r="M212" s="82"/>
      <c r="N212" s="82"/>
      <c r="O212" s="82"/>
      <c r="P212" s="82"/>
      <c r="Q212" s="82"/>
      <c r="R212" s="82"/>
      <c r="S212" s="82"/>
      <c r="T212" s="82"/>
      <c r="U212" s="82">
        <v>99000</v>
      </c>
      <c r="V212" s="6">
        <f>+V211-Table_MAG_Ledger_Authorized[[#This Row],[Federal Amount]]</f>
        <v>11394926.00499998</v>
      </c>
      <c r="W212" s="74"/>
      <c r="Z212" s="5"/>
      <c r="AA212" s="109"/>
      <c r="AC212" s="18"/>
      <c r="AD212" s="118"/>
      <c r="AG212" s="7"/>
      <c r="AR212" s="6"/>
      <c r="BZ212" s="5"/>
      <c r="CF212" s="13"/>
    </row>
    <row r="213" spans="1:84" ht="30" x14ac:dyDescent="0.25">
      <c r="A213" s="80" t="s">
        <v>73</v>
      </c>
      <c r="B213" s="80" t="s">
        <v>560</v>
      </c>
      <c r="C213" s="80" t="s">
        <v>730</v>
      </c>
      <c r="D213" s="80" t="s">
        <v>62</v>
      </c>
      <c r="E213" s="80" t="s">
        <v>731</v>
      </c>
      <c r="F213" s="80" t="s">
        <v>732</v>
      </c>
      <c r="G213" s="80" t="s">
        <v>103</v>
      </c>
      <c r="H213" s="80" t="s">
        <v>3</v>
      </c>
      <c r="I213" s="81">
        <v>41477</v>
      </c>
      <c r="J213" s="81">
        <v>41523</v>
      </c>
      <c r="K213" s="81">
        <v>41535</v>
      </c>
      <c r="L213" s="82">
        <v>108000</v>
      </c>
      <c r="M213" s="82"/>
      <c r="N213" s="82"/>
      <c r="O213" s="82"/>
      <c r="P213" s="82"/>
      <c r="Q213" s="82"/>
      <c r="R213" s="82"/>
      <c r="S213" s="82"/>
      <c r="T213" s="82"/>
      <c r="U213" s="82">
        <v>108000</v>
      </c>
      <c r="V213" s="6">
        <f>+V212-Table_MAG_Ledger_Authorized[[#This Row],[Federal Amount]]</f>
        <v>11286926.00499998</v>
      </c>
      <c r="W213" s="74"/>
      <c r="Z213" s="5"/>
      <c r="AA213" s="109"/>
      <c r="AC213" s="18"/>
      <c r="AD213" s="118"/>
      <c r="AG213" s="7"/>
      <c r="AR213" s="6"/>
      <c r="BZ213" s="5"/>
      <c r="CF213" s="13"/>
    </row>
    <row r="214" spans="1:84" ht="45" x14ac:dyDescent="0.25">
      <c r="A214" s="80" t="s">
        <v>73</v>
      </c>
      <c r="B214" s="80" t="s">
        <v>733</v>
      </c>
      <c r="C214" s="80" t="s">
        <v>734</v>
      </c>
      <c r="D214" s="80" t="s">
        <v>62</v>
      </c>
      <c r="E214" s="80" t="s">
        <v>735</v>
      </c>
      <c r="F214" s="80" t="s">
        <v>736</v>
      </c>
      <c r="G214" s="80" t="s">
        <v>103</v>
      </c>
      <c r="H214" s="80" t="s">
        <v>3</v>
      </c>
      <c r="I214" s="81">
        <v>41477</v>
      </c>
      <c r="J214" s="81">
        <v>41523</v>
      </c>
      <c r="K214" s="81">
        <v>41535</v>
      </c>
      <c r="L214" s="82">
        <v>73000</v>
      </c>
      <c r="M214" s="82"/>
      <c r="N214" s="82"/>
      <c r="O214" s="82"/>
      <c r="P214" s="82"/>
      <c r="Q214" s="82"/>
      <c r="R214" s="82"/>
      <c r="S214" s="82"/>
      <c r="T214" s="82"/>
      <c r="U214" s="82">
        <v>73000</v>
      </c>
      <c r="V214" s="6">
        <f>+V213-Table_MAG_Ledger_Authorized[[#This Row],[Federal Amount]]</f>
        <v>11213926.00499998</v>
      </c>
      <c r="W214" s="74"/>
      <c r="Z214" s="5"/>
      <c r="AA214" s="109"/>
      <c r="AC214" s="18"/>
      <c r="AD214" s="118"/>
      <c r="AG214" s="7"/>
      <c r="AR214" s="6"/>
      <c r="BZ214" s="5"/>
      <c r="CF214" s="13"/>
    </row>
    <row r="215" spans="1:84" ht="30" x14ac:dyDescent="0.25">
      <c r="A215" s="80" t="s">
        <v>73</v>
      </c>
      <c r="B215" s="80" t="s">
        <v>626</v>
      </c>
      <c r="C215" s="80" t="s">
        <v>627</v>
      </c>
      <c r="D215" s="80" t="s">
        <v>62</v>
      </c>
      <c r="E215" s="80" t="s">
        <v>628</v>
      </c>
      <c r="F215" s="80" t="s">
        <v>629</v>
      </c>
      <c r="G215" s="80" t="s">
        <v>444</v>
      </c>
      <c r="H215" s="80" t="s">
        <v>4</v>
      </c>
      <c r="I215" s="81">
        <v>41472</v>
      </c>
      <c r="J215" s="81">
        <v>41480</v>
      </c>
      <c r="K215" s="81">
        <v>41482</v>
      </c>
      <c r="L215" s="82">
        <v>0</v>
      </c>
      <c r="M215" s="82"/>
      <c r="N215" s="82"/>
      <c r="O215" s="82"/>
      <c r="P215" s="82"/>
      <c r="Q215" s="82"/>
      <c r="R215" s="82"/>
      <c r="S215" s="82"/>
      <c r="T215" s="82"/>
      <c r="U215" s="82">
        <v>0</v>
      </c>
      <c r="V215" s="6">
        <f>+V214-Table_MAG_Ledger_Authorized[[#This Row],[Federal Amount]]</f>
        <v>11213926.00499998</v>
      </c>
      <c r="W215" s="74"/>
      <c r="Z215" s="5"/>
      <c r="AA215" s="109"/>
      <c r="AC215" s="18"/>
      <c r="AD215" s="118"/>
      <c r="AG215" s="7"/>
      <c r="AR215" s="6"/>
      <c r="BZ215" s="5"/>
      <c r="CF215" s="13"/>
    </row>
    <row r="216" spans="1:84" ht="45" x14ac:dyDescent="0.25">
      <c r="A216" s="80" t="s">
        <v>73</v>
      </c>
      <c r="B216" s="80" t="s">
        <v>440</v>
      </c>
      <c r="C216" s="80" t="s">
        <v>441</v>
      </c>
      <c r="D216" s="80" t="s">
        <v>60</v>
      </c>
      <c r="E216" s="80" t="s">
        <v>442</v>
      </c>
      <c r="F216" s="80" t="s">
        <v>443</v>
      </c>
      <c r="G216" s="80" t="s">
        <v>444</v>
      </c>
      <c r="H216" s="80" t="s">
        <v>3</v>
      </c>
      <c r="I216" s="81">
        <v>41452</v>
      </c>
      <c r="J216" s="81">
        <v>41474</v>
      </c>
      <c r="K216" s="81">
        <v>41497</v>
      </c>
      <c r="L216" s="82">
        <v>254235</v>
      </c>
      <c r="M216" s="82"/>
      <c r="N216" s="82"/>
      <c r="O216" s="82"/>
      <c r="P216" s="82"/>
      <c r="Q216" s="82"/>
      <c r="R216" s="82"/>
      <c r="S216" s="82"/>
      <c r="T216" s="82"/>
      <c r="U216" s="82">
        <v>254235</v>
      </c>
      <c r="V216" s="6">
        <f>+V215-Table_MAG_Ledger_Authorized[[#This Row],[Federal Amount]]</f>
        <v>10959691.00499998</v>
      </c>
      <c r="W216" s="74"/>
      <c r="Z216" s="5"/>
      <c r="AA216" s="109"/>
      <c r="AC216" s="18"/>
      <c r="AD216" s="118"/>
      <c r="AG216" s="7"/>
      <c r="AR216" s="6"/>
      <c r="BZ216" s="5"/>
      <c r="CF216" s="13"/>
    </row>
    <row r="217" spans="1:84" ht="30" x14ac:dyDescent="0.25">
      <c r="A217" s="80" t="s">
        <v>73</v>
      </c>
      <c r="B217" s="80" t="s">
        <v>445</v>
      </c>
      <c r="C217" s="80" t="s">
        <v>446</v>
      </c>
      <c r="D217" s="80" t="s">
        <v>60</v>
      </c>
      <c r="E217" s="80" t="s">
        <v>447</v>
      </c>
      <c r="F217" s="80" t="s">
        <v>448</v>
      </c>
      <c r="G217" s="80" t="s">
        <v>444</v>
      </c>
      <c r="H217" s="80" t="s">
        <v>3</v>
      </c>
      <c r="I217" s="81">
        <v>41430</v>
      </c>
      <c r="J217" s="81">
        <v>41446</v>
      </c>
      <c r="K217" s="81">
        <v>41452</v>
      </c>
      <c r="L217" s="82"/>
      <c r="M217" s="82"/>
      <c r="N217" s="82">
        <v>25920</v>
      </c>
      <c r="O217" s="82"/>
      <c r="P217" s="82"/>
      <c r="Q217" s="82"/>
      <c r="R217" s="82"/>
      <c r="S217" s="82"/>
      <c r="T217" s="82"/>
      <c r="U217" s="82">
        <v>25920</v>
      </c>
      <c r="V217" s="6">
        <f>+V216-Table_MAG_Ledger_Authorized[[#This Row],[Federal Amount]]</f>
        <v>10933771.00499998</v>
      </c>
      <c r="W217" s="74"/>
      <c r="Z217" s="5"/>
      <c r="AA217" s="109"/>
      <c r="AC217" s="18"/>
      <c r="AD217" s="118"/>
      <c r="AG217" s="7"/>
      <c r="AR217" s="6"/>
      <c r="BZ217" s="5"/>
      <c r="CF217" s="13"/>
    </row>
    <row r="218" spans="1:84" ht="30" x14ac:dyDescent="0.25">
      <c r="A218" s="80" t="s">
        <v>73</v>
      </c>
      <c r="B218" s="80" t="s">
        <v>445</v>
      </c>
      <c r="C218" s="80" t="s">
        <v>446</v>
      </c>
      <c r="D218" s="80" t="s">
        <v>62</v>
      </c>
      <c r="E218" s="80" t="s">
        <v>447</v>
      </c>
      <c r="F218" s="80" t="s">
        <v>448</v>
      </c>
      <c r="G218" s="80" t="s">
        <v>444</v>
      </c>
      <c r="H218" s="80" t="s">
        <v>3</v>
      </c>
      <c r="I218" s="81">
        <v>41417</v>
      </c>
      <c r="J218" s="81">
        <v>41432</v>
      </c>
      <c r="K218" s="81">
        <v>41444</v>
      </c>
      <c r="L218" s="82"/>
      <c r="M218" s="82"/>
      <c r="N218" s="82">
        <v>10000</v>
      </c>
      <c r="O218" s="82"/>
      <c r="P218" s="82"/>
      <c r="Q218" s="82"/>
      <c r="R218" s="82"/>
      <c r="S218" s="82"/>
      <c r="T218" s="82"/>
      <c r="U218" s="82">
        <v>10000</v>
      </c>
      <c r="V218" s="6">
        <f>+V217-Table_MAG_Ledger_Authorized[[#This Row],[Federal Amount]]</f>
        <v>10923771.00499998</v>
      </c>
      <c r="W218" s="74"/>
      <c r="Z218" s="5"/>
      <c r="AA218" s="109"/>
      <c r="AC218" s="18"/>
      <c r="AD218" s="118"/>
      <c r="AG218" s="7"/>
      <c r="AR218" s="6"/>
      <c r="BZ218" s="5"/>
      <c r="CF218" s="13"/>
    </row>
    <row r="219" spans="1:84" ht="30" x14ac:dyDescent="0.25">
      <c r="A219" s="80" t="s">
        <v>73</v>
      </c>
      <c r="B219" s="80" t="s">
        <v>315</v>
      </c>
      <c r="C219" s="80" t="s">
        <v>316</v>
      </c>
      <c r="D219" s="80" t="s">
        <v>60</v>
      </c>
      <c r="E219" s="80" t="s">
        <v>317</v>
      </c>
      <c r="F219" s="80" t="s">
        <v>318</v>
      </c>
      <c r="G219" s="80" t="s">
        <v>114</v>
      </c>
      <c r="H219" s="80" t="s">
        <v>3</v>
      </c>
      <c r="I219" s="81">
        <v>41418</v>
      </c>
      <c r="J219" s="81">
        <v>41432</v>
      </c>
      <c r="K219" s="81">
        <v>41443</v>
      </c>
      <c r="L219" s="82"/>
      <c r="M219" s="82"/>
      <c r="N219" s="82">
        <v>70200</v>
      </c>
      <c r="O219" s="82"/>
      <c r="P219" s="82"/>
      <c r="Q219" s="82"/>
      <c r="R219" s="82"/>
      <c r="S219" s="82"/>
      <c r="T219" s="82"/>
      <c r="U219" s="82">
        <v>70200</v>
      </c>
      <c r="V219" s="6">
        <f>+V218-Table_MAG_Ledger_Authorized[[#This Row],[Federal Amount]]</f>
        <v>10853571.00499998</v>
      </c>
      <c r="W219" s="74"/>
      <c r="Z219" s="5"/>
      <c r="AA219" s="109"/>
      <c r="AC219" s="18"/>
      <c r="AD219" s="118"/>
      <c r="AG219" s="7"/>
      <c r="AR219" s="6"/>
      <c r="BZ219" s="5"/>
      <c r="CF219" s="13"/>
    </row>
    <row r="220" spans="1:84" ht="30" x14ac:dyDescent="0.25">
      <c r="A220" s="80" t="s">
        <v>73</v>
      </c>
      <c r="B220" s="80" t="s">
        <v>315</v>
      </c>
      <c r="C220" s="80" t="s">
        <v>316</v>
      </c>
      <c r="D220" s="80" t="s">
        <v>62</v>
      </c>
      <c r="E220" s="80" t="s">
        <v>317</v>
      </c>
      <c r="F220" s="80" t="s">
        <v>318</v>
      </c>
      <c r="G220" s="80" t="s">
        <v>114</v>
      </c>
      <c r="H220" s="80" t="s">
        <v>3</v>
      </c>
      <c r="I220" s="81">
        <v>41362</v>
      </c>
      <c r="J220" s="81">
        <v>41367</v>
      </c>
      <c r="K220" s="81">
        <v>41373</v>
      </c>
      <c r="L220" s="82"/>
      <c r="M220" s="82"/>
      <c r="N220" s="82">
        <v>5000</v>
      </c>
      <c r="O220" s="82"/>
      <c r="P220" s="82"/>
      <c r="Q220" s="82"/>
      <c r="R220" s="82"/>
      <c r="S220" s="82"/>
      <c r="T220" s="82"/>
      <c r="U220" s="82">
        <v>5000</v>
      </c>
      <c r="V220" s="6">
        <f>+V219-Table_MAG_Ledger_Authorized[[#This Row],[Federal Amount]]</f>
        <v>10848571.00499998</v>
      </c>
      <c r="W220" s="74"/>
      <c r="Z220" s="5"/>
      <c r="AA220" s="109"/>
      <c r="AC220" s="18"/>
      <c r="AD220" s="118"/>
      <c r="AG220" s="7"/>
      <c r="AR220" s="6"/>
      <c r="BZ220" s="5"/>
      <c r="CF220" s="13"/>
    </row>
    <row r="221" spans="1:84" ht="30" x14ac:dyDescent="0.25">
      <c r="A221" s="80" t="s">
        <v>73</v>
      </c>
      <c r="B221" s="80" t="s">
        <v>561</v>
      </c>
      <c r="C221" s="80" t="s">
        <v>449</v>
      </c>
      <c r="D221" s="80" t="s">
        <v>60</v>
      </c>
      <c r="E221" s="80" t="s">
        <v>450</v>
      </c>
      <c r="F221" s="80" t="s">
        <v>451</v>
      </c>
      <c r="G221" s="80" t="s">
        <v>114</v>
      </c>
      <c r="H221" s="80" t="s">
        <v>4</v>
      </c>
      <c r="I221" s="81">
        <v>41430</v>
      </c>
      <c r="J221" s="81">
        <v>41443</v>
      </c>
      <c r="K221" s="81">
        <v>41449</v>
      </c>
      <c r="L221" s="82"/>
      <c r="M221" s="82"/>
      <c r="N221" s="82">
        <v>103876</v>
      </c>
      <c r="O221" s="82"/>
      <c r="P221" s="82"/>
      <c r="Q221" s="82"/>
      <c r="R221" s="82"/>
      <c r="S221" s="82"/>
      <c r="T221" s="82"/>
      <c r="U221" s="82">
        <v>103876</v>
      </c>
      <c r="V221" s="6">
        <f>+V220-Table_MAG_Ledger_Authorized[[#This Row],[Federal Amount]]</f>
        <v>10744695.00499998</v>
      </c>
      <c r="W221" s="74"/>
      <c r="Z221" s="5"/>
      <c r="AA221" s="109"/>
      <c r="AC221" s="18"/>
      <c r="AD221" s="118"/>
      <c r="AG221" s="7"/>
      <c r="AR221" s="6"/>
      <c r="BZ221" s="5"/>
      <c r="CF221" s="13"/>
    </row>
    <row r="222" spans="1:84" ht="30" x14ac:dyDescent="0.25">
      <c r="A222" s="80" t="s">
        <v>73</v>
      </c>
      <c r="B222" s="80" t="s">
        <v>562</v>
      </c>
      <c r="C222" s="80" t="s">
        <v>563</v>
      </c>
      <c r="D222" s="80" t="s">
        <v>62</v>
      </c>
      <c r="E222" s="80" t="s">
        <v>630</v>
      </c>
      <c r="F222" s="80" t="s">
        <v>564</v>
      </c>
      <c r="G222" s="80" t="s">
        <v>114</v>
      </c>
      <c r="H222" s="80" t="s">
        <v>3</v>
      </c>
      <c r="I222" s="81">
        <v>41453</v>
      </c>
      <c r="J222" s="81">
        <v>41516</v>
      </c>
      <c r="K222" s="81">
        <v>41522</v>
      </c>
      <c r="L222" s="82">
        <v>38000</v>
      </c>
      <c r="M222" s="82"/>
      <c r="N222" s="82"/>
      <c r="O222" s="82"/>
      <c r="P222" s="82"/>
      <c r="Q222" s="82"/>
      <c r="R222" s="82"/>
      <c r="S222" s="82"/>
      <c r="T222" s="82"/>
      <c r="U222" s="82">
        <v>38000</v>
      </c>
      <c r="V222" s="6">
        <f>+V221-Table_MAG_Ledger_Authorized[[#This Row],[Federal Amount]]</f>
        <v>10706695.00499998</v>
      </c>
      <c r="W222" s="74"/>
      <c r="Z222" s="5"/>
      <c r="AA222" s="109"/>
      <c r="AC222" s="18"/>
      <c r="AD222" s="118"/>
      <c r="AG222" s="7"/>
      <c r="AR222" s="6"/>
      <c r="BZ222" s="5"/>
      <c r="CF222" s="13"/>
    </row>
    <row r="223" spans="1:84" ht="30" x14ac:dyDescent="0.25">
      <c r="A223" s="80" t="s">
        <v>73</v>
      </c>
      <c r="B223" s="80" t="s">
        <v>456</v>
      </c>
      <c r="C223" s="80" t="s">
        <v>452</v>
      </c>
      <c r="D223" s="80" t="s">
        <v>61</v>
      </c>
      <c r="E223" s="80" t="s">
        <v>453</v>
      </c>
      <c r="F223" s="80" t="s">
        <v>454</v>
      </c>
      <c r="G223" s="80" t="s">
        <v>455</v>
      </c>
      <c r="H223" s="80" t="s">
        <v>3</v>
      </c>
      <c r="I223" s="81">
        <v>41470</v>
      </c>
      <c r="J223" s="81">
        <v>41523</v>
      </c>
      <c r="K223" s="81">
        <v>41533</v>
      </c>
      <c r="L223" s="82">
        <v>1000000</v>
      </c>
      <c r="M223" s="82"/>
      <c r="N223" s="82"/>
      <c r="O223" s="82"/>
      <c r="P223" s="82"/>
      <c r="Q223" s="82"/>
      <c r="R223" s="82"/>
      <c r="S223" s="82"/>
      <c r="T223" s="82"/>
      <c r="U223" s="82">
        <v>1000000</v>
      </c>
      <c r="V223" s="6">
        <f>+V222-Table_MAG_Ledger_Authorized[[#This Row],[Federal Amount]]</f>
        <v>9706695.0049999803</v>
      </c>
      <c r="W223" s="74"/>
      <c r="Z223" s="5"/>
      <c r="AA223" s="109"/>
      <c r="AC223" s="18"/>
      <c r="AD223" s="118"/>
      <c r="AG223" s="7"/>
      <c r="AR223" s="6"/>
      <c r="BZ223" s="5"/>
      <c r="CF223" s="13"/>
    </row>
    <row r="224" spans="1:84" ht="30" x14ac:dyDescent="0.25">
      <c r="A224" s="80" t="s">
        <v>73</v>
      </c>
      <c r="B224" s="80" t="s">
        <v>319</v>
      </c>
      <c r="C224" s="80" t="s">
        <v>320</v>
      </c>
      <c r="D224" s="80" t="s">
        <v>60</v>
      </c>
      <c r="E224" s="80" t="s">
        <v>321</v>
      </c>
      <c r="F224" s="80" t="s">
        <v>322</v>
      </c>
      <c r="G224" s="80" t="s">
        <v>249</v>
      </c>
      <c r="H224" s="80" t="s">
        <v>23</v>
      </c>
      <c r="I224" s="81">
        <v>41310</v>
      </c>
      <c r="J224" s="81">
        <v>41313</v>
      </c>
      <c r="K224" s="81">
        <v>41317</v>
      </c>
      <c r="L224" s="82">
        <v>-217712</v>
      </c>
      <c r="M224" s="82"/>
      <c r="N224" s="82"/>
      <c r="O224" s="82"/>
      <c r="P224" s="82"/>
      <c r="Q224" s="82"/>
      <c r="R224" s="82"/>
      <c r="S224" s="82"/>
      <c r="T224" s="82"/>
      <c r="U224" s="82">
        <v>-217712</v>
      </c>
      <c r="V224" s="6">
        <f>+V223-Table_MAG_Ledger_Authorized[[#This Row],[Federal Amount]]</f>
        <v>9924407.0049999803</v>
      </c>
      <c r="W224" s="74"/>
      <c r="Z224" s="5"/>
      <c r="AA224" s="109"/>
      <c r="AC224" s="18"/>
      <c r="AD224" s="118"/>
      <c r="AG224" s="7"/>
      <c r="AR224" s="6"/>
      <c r="BZ224" s="5"/>
      <c r="CF224" s="13"/>
    </row>
    <row r="225" spans="1:84" ht="45" x14ac:dyDescent="0.25">
      <c r="A225" s="80" t="s">
        <v>73</v>
      </c>
      <c r="B225" s="80" t="s">
        <v>457</v>
      </c>
      <c r="C225" s="80" t="s">
        <v>458</v>
      </c>
      <c r="D225" s="80" t="s">
        <v>60</v>
      </c>
      <c r="E225" s="80" t="s">
        <v>459</v>
      </c>
      <c r="F225" s="80" t="s">
        <v>460</v>
      </c>
      <c r="G225" s="80" t="s">
        <v>249</v>
      </c>
      <c r="H225" s="80" t="s">
        <v>3</v>
      </c>
      <c r="I225" s="81">
        <v>41487</v>
      </c>
      <c r="J225" s="81">
        <v>41520</v>
      </c>
      <c r="K225" s="81">
        <v>41522</v>
      </c>
      <c r="L225" s="82">
        <v>581180</v>
      </c>
      <c r="M225" s="82"/>
      <c r="N225" s="82"/>
      <c r="O225" s="82"/>
      <c r="P225" s="82"/>
      <c r="Q225" s="82"/>
      <c r="R225" s="82"/>
      <c r="S225" s="82"/>
      <c r="T225" s="82"/>
      <c r="U225" s="82">
        <v>581180</v>
      </c>
      <c r="V225" s="6">
        <f>+V224-Table_MAG_Ledger_Authorized[[#This Row],[Federal Amount]]</f>
        <v>9343227.0049999803</v>
      </c>
      <c r="W225" s="74"/>
      <c r="Z225" s="5"/>
      <c r="AA225" s="109"/>
      <c r="AC225" s="18"/>
      <c r="AD225" s="118"/>
      <c r="AG225" s="7"/>
      <c r="AR225" s="6"/>
      <c r="BZ225" s="5"/>
      <c r="CF225" s="13"/>
    </row>
    <row r="226" spans="1:84" ht="30" x14ac:dyDescent="0.25">
      <c r="A226" s="80" t="s">
        <v>73</v>
      </c>
      <c r="B226" s="80" t="s">
        <v>461</v>
      </c>
      <c r="C226" s="80" t="s">
        <v>462</v>
      </c>
      <c r="D226" s="80" t="s">
        <v>60</v>
      </c>
      <c r="E226" s="80" t="s">
        <v>463</v>
      </c>
      <c r="F226" s="80" t="s">
        <v>464</v>
      </c>
      <c r="G226" s="80" t="s">
        <v>249</v>
      </c>
      <c r="H226" s="80" t="s">
        <v>3</v>
      </c>
      <c r="I226" s="81">
        <v>41513</v>
      </c>
      <c r="J226" s="81">
        <v>41522</v>
      </c>
      <c r="K226" s="81">
        <v>41540</v>
      </c>
      <c r="L226" s="82">
        <v>683675</v>
      </c>
      <c r="M226" s="82"/>
      <c r="N226" s="82"/>
      <c r="O226" s="82"/>
      <c r="P226" s="82"/>
      <c r="Q226" s="82"/>
      <c r="R226" s="82"/>
      <c r="S226" s="82"/>
      <c r="T226" s="82"/>
      <c r="U226" s="82">
        <v>683675</v>
      </c>
      <c r="V226" s="6">
        <f>+V225-Table_MAG_Ledger_Authorized[[#This Row],[Federal Amount]]</f>
        <v>8659552.0049999803</v>
      </c>
      <c r="W226" s="74"/>
      <c r="Z226" s="5"/>
      <c r="AA226" s="109"/>
      <c r="AC226" s="18"/>
      <c r="AD226" s="118"/>
      <c r="AG226" s="7"/>
      <c r="AR226" s="6"/>
      <c r="BZ226" s="5"/>
      <c r="CF226" s="13"/>
    </row>
    <row r="227" spans="1:84" ht="45" x14ac:dyDescent="0.25">
      <c r="A227" s="80" t="s">
        <v>73</v>
      </c>
      <c r="B227" s="80" t="s">
        <v>323</v>
      </c>
      <c r="C227" s="80" t="s">
        <v>324</v>
      </c>
      <c r="D227" s="80" t="s">
        <v>60</v>
      </c>
      <c r="E227" s="80" t="s">
        <v>325</v>
      </c>
      <c r="F227" s="80" t="s">
        <v>326</v>
      </c>
      <c r="G227" s="80" t="s">
        <v>110</v>
      </c>
      <c r="H227" s="80" t="s">
        <v>4</v>
      </c>
      <c r="I227" s="81">
        <v>41360</v>
      </c>
      <c r="J227" s="81">
        <v>41362</v>
      </c>
      <c r="K227" s="81">
        <v>41367</v>
      </c>
      <c r="L227" s="82">
        <v>269084</v>
      </c>
      <c r="M227" s="82"/>
      <c r="N227" s="82"/>
      <c r="O227" s="82"/>
      <c r="P227" s="82"/>
      <c r="Q227" s="82"/>
      <c r="R227" s="82"/>
      <c r="S227" s="82"/>
      <c r="T227" s="82"/>
      <c r="U227" s="82">
        <v>269084</v>
      </c>
      <c r="V227" s="6">
        <f>+V226-Table_MAG_Ledger_Authorized[[#This Row],[Federal Amount]]</f>
        <v>8390468.0049999803</v>
      </c>
      <c r="W227" s="74"/>
      <c r="Z227" s="5"/>
      <c r="AA227" s="109"/>
      <c r="AC227" s="18"/>
      <c r="AD227" s="118"/>
      <c r="AG227" s="7"/>
      <c r="AR227" s="6"/>
      <c r="BZ227" s="5"/>
      <c r="CF227" s="13"/>
    </row>
    <row r="228" spans="1:84" ht="45" x14ac:dyDescent="0.25">
      <c r="A228" s="80" t="s">
        <v>73</v>
      </c>
      <c r="B228" s="80" t="s">
        <v>323</v>
      </c>
      <c r="C228" s="80" t="s">
        <v>324</v>
      </c>
      <c r="D228" s="80" t="s">
        <v>60</v>
      </c>
      <c r="E228" s="80" t="s">
        <v>325</v>
      </c>
      <c r="F228" s="80" t="s">
        <v>326</v>
      </c>
      <c r="G228" s="80" t="s">
        <v>110</v>
      </c>
      <c r="H228" s="80" t="s">
        <v>3</v>
      </c>
      <c r="I228" s="81">
        <v>41199</v>
      </c>
      <c r="J228" s="81">
        <v>41204</v>
      </c>
      <c r="K228" s="81">
        <v>41221</v>
      </c>
      <c r="L228" s="82">
        <v>692777</v>
      </c>
      <c r="M228" s="82"/>
      <c r="N228" s="82"/>
      <c r="O228" s="82"/>
      <c r="P228" s="82"/>
      <c r="Q228" s="82"/>
      <c r="R228" s="82"/>
      <c r="S228" s="82"/>
      <c r="T228" s="82"/>
      <c r="U228" s="82">
        <v>692777</v>
      </c>
      <c r="V228" s="6">
        <f>+V227-Table_MAG_Ledger_Authorized[[#This Row],[Federal Amount]]</f>
        <v>7697691.0049999803</v>
      </c>
      <c r="W228" s="74"/>
      <c r="Z228" s="5"/>
      <c r="AA228" s="109"/>
      <c r="AC228" s="18"/>
      <c r="AD228" s="118"/>
      <c r="AG228" s="7"/>
      <c r="AR228" s="6"/>
      <c r="BZ228" s="5"/>
      <c r="CF228" s="13"/>
    </row>
    <row r="229" spans="1:84" ht="30" x14ac:dyDescent="0.25">
      <c r="A229" s="80" t="s">
        <v>73</v>
      </c>
      <c r="B229" s="80" t="s">
        <v>565</v>
      </c>
      <c r="C229" s="80" t="s">
        <v>566</v>
      </c>
      <c r="D229" s="80" t="s">
        <v>60</v>
      </c>
      <c r="E229" s="80" t="s">
        <v>567</v>
      </c>
      <c r="F229" s="80" t="s">
        <v>568</v>
      </c>
      <c r="G229" s="80" t="s">
        <v>110</v>
      </c>
      <c r="H229" s="80" t="s">
        <v>3</v>
      </c>
      <c r="I229" s="81">
        <v>41443</v>
      </c>
      <c r="J229" s="81">
        <v>41446</v>
      </c>
      <c r="K229" s="81">
        <v>41453</v>
      </c>
      <c r="L229" s="82"/>
      <c r="M229" s="82"/>
      <c r="N229" s="82">
        <v>36960</v>
      </c>
      <c r="O229" s="82"/>
      <c r="P229" s="82"/>
      <c r="Q229" s="82"/>
      <c r="R229" s="82"/>
      <c r="S229" s="82"/>
      <c r="T229" s="82"/>
      <c r="U229" s="82">
        <v>36960</v>
      </c>
      <c r="V229" s="6">
        <f>+V228-Table_MAG_Ledger_Authorized[[#This Row],[Federal Amount]]</f>
        <v>7660731.0049999803</v>
      </c>
      <c r="W229" s="74"/>
      <c r="Z229" s="5"/>
      <c r="AA229" s="109"/>
      <c r="AC229" s="18"/>
      <c r="AD229" s="118"/>
      <c r="AG229" s="7"/>
      <c r="AR229" s="6"/>
      <c r="BZ229" s="5"/>
      <c r="CF229" s="13"/>
    </row>
    <row r="230" spans="1:84" ht="30" x14ac:dyDescent="0.25">
      <c r="A230" s="80" t="s">
        <v>73</v>
      </c>
      <c r="B230" s="80" t="s">
        <v>569</v>
      </c>
      <c r="C230" s="80" t="s">
        <v>570</v>
      </c>
      <c r="D230" s="80" t="s">
        <v>60</v>
      </c>
      <c r="E230" s="80" t="s">
        <v>571</v>
      </c>
      <c r="F230" s="80" t="s">
        <v>572</v>
      </c>
      <c r="G230" s="80" t="s">
        <v>110</v>
      </c>
      <c r="H230" s="80" t="s">
        <v>3</v>
      </c>
      <c r="I230" s="81">
        <v>41443</v>
      </c>
      <c r="J230" s="81">
        <v>41446</v>
      </c>
      <c r="K230" s="81">
        <v>41453</v>
      </c>
      <c r="L230" s="82"/>
      <c r="M230" s="82"/>
      <c r="N230" s="82">
        <v>57600</v>
      </c>
      <c r="O230" s="82"/>
      <c r="P230" s="82"/>
      <c r="Q230" s="82"/>
      <c r="R230" s="82"/>
      <c r="S230" s="82"/>
      <c r="T230" s="82"/>
      <c r="U230" s="82">
        <v>57600</v>
      </c>
      <c r="V230" s="6">
        <f>+V229-Table_MAG_Ledger_Authorized[[#This Row],[Federal Amount]]</f>
        <v>7603131.0049999803</v>
      </c>
      <c r="W230" s="74"/>
      <c r="Z230" s="5"/>
      <c r="AA230" s="109"/>
      <c r="AC230" s="18"/>
      <c r="AD230" s="118"/>
      <c r="AG230" s="7"/>
      <c r="AR230" s="6"/>
      <c r="BZ230" s="5"/>
      <c r="CF230" s="13"/>
    </row>
    <row r="231" spans="1:84" ht="45" x14ac:dyDescent="0.25">
      <c r="A231" s="80" t="s">
        <v>73</v>
      </c>
      <c r="B231" s="80" t="s">
        <v>465</v>
      </c>
      <c r="C231" s="80" t="s">
        <v>466</v>
      </c>
      <c r="D231" s="80" t="s">
        <v>60</v>
      </c>
      <c r="E231" s="80" t="s">
        <v>467</v>
      </c>
      <c r="F231" s="80" t="s">
        <v>468</v>
      </c>
      <c r="G231" s="80" t="s">
        <v>110</v>
      </c>
      <c r="H231" s="80" t="s">
        <v>3</v>
      </c>
      <c r="I231" s="81">
        <v>41498</v>
      </c>
      <c r="J231" s="81">
        <v>41515</v>
      </c>
      <c r="K231" s="81">
        <v>41523</v>
      </c>
      <c r="L231" s="82">
        <v>2349956</v>
      </c>
      <c r="M231" s="82"/>
      <c r="N231" s="82"/>
      <c r="O231" s="82"/>
      <c r="P231" s="82"/>
      <c r="Q231" s="82"/>
      <c r="R231" s="82"/>
      <c r="S231" s="82"/>
      <c r="T231" s="82"/>
      <c r="U231" s="82">
        <v>2349956</v>
      </c>
      <c r="V231" s="6">
        <f>+V230-Table_MAG_Ledger_Authorized[[#This Row],[Federal Amount]]</f>
        <v>5253175.0049999803</v>
      </c>
      <c r="W231" s="74"/>
      <c r="Z231" s="5"/>
      <c r="AA231" s="109"/>
      <c r="AC231" s="18"/>
      <c r="AD231" s="118"/>
      <c r="AG231" s="7"/>
      <c r="AR231" s="6"/>
      <c r="BZ231" s="5"/>
      <c r="CF231" s="13"/>
    </row>
    <row r="232" spans="1:84" ht="30" x14ac:dyDescent="0.25">
      <c r="A232" s="80" t="s">
        <v>73</v>
      </c>
      <c r="B232" s="80" t="s">
        <v>469</v>
      </c>
      <c r="C232" s="80" t="s">
        <v>470</v>
      </c>
      <c r="D232" s="80" t="s">
        <v>60</v>
      </c>
      <c r="E232" s="80" t="s">
        <v>471</v>
      </c>
      <c r="F232" s="80" t="s">
        <v>472</v>
      </c>
      <c r="G232" s="80" t="s">
        <v>110</v>
      </c>
      <c r="H232" s="80" t="s">
        <v>3</v>
      </c>
      <c r="I232" s="81">
        <v>41445</v>
      </c>
      <c r="J232" s="81">
        <v>41450</v>
      </c>
      <c r="K232" s="81">
        <v>41453</v>
      </c>
      <c r="L232" s="82"/>
      <c r="M232" s="82"/>
      <c r="N232" s="82">
        <v>203637</v>
      </c>
      <c r="O232" s="82"/>
      <c r="P232" s="82"/>
      <c r="Q232" s="82"/>
      <c r="R232" s="82"/>
      <c r="S232" s="82"/>
      <c r="T232" s="82"/>
      <c r="U232" s="82">
        <v>203637</v>
      </c>
      <c r="V232" s="6">
        <f>+V231-Table_MAG_Ledger_Authorized[[#This Row],[Federal Amount]]</f>
        <v>5049538.0049999803</v>
      </c>
      <c r="W232" s="74"/>
      <c r="Z232" s="5"/>
      <c r="AA232" s="109"/>
      <c r="AC232" s="18"/>
      <c r="AD232" s="118"/>
      <c r="AG232" s="7"/>
      <c r="AR232" s="6"/>
      <c r="BZ232" s="5"/>
      <c r="CF232" s="13"/>
    </row>
    <row r="233" spans="1:84" x14ac:dyDescent="0.25">
      <c r="A233" s="80" t="s">
        <v>73</v>
      </c>
      <c r="B233" s="80" t="s">
        <v>573</v>
      </c>
      <c r="C233" s="80" t="s">
        <v>574</v>
      </c>
      <c r="D233" s="80" t="s">
        <v>60</v>
      </c>
      <c r="E233" s="80" t="s">
        <v>631</v>
      </c>
      <c r="F233" s="80" t="s">
        <v>575</v>
      </c>
      <c r="G233" s="80" t="s">
        <v>110</v>
      </c>
      <c r="H233" s="80" t="s">
        <v>3</v>
      </c>
      <c r="I233" s="81">
        <v>41470</v>
      </c>
      <c r="J233" s="81">
        <v>41491</v>
      </c>
      <c r="K233" s="81">
        <v>41505</v>
      </c>
      <c r="L233" s="82">
        <v>1811884</v>
      </c>
      <c r="M233" s="82"/>
      <c r="N233" s="82"/>
      <c r="O233" s="82"/>
      <c r="P233" s="82"/>
      <c r="Q233" s="82"/>
      <c r="R233" s="82"/>
      <c r="S233" s="82"/>
      <c r="T233" s="82"/>
      <c r="U233" s="82">
        <v>1811884</v>
      </c>
      <c r="V233" s="6">
        <f>+V232-Table_MAG_Ledger_Authorized[[#This Row],[Federal Amount]]</f>
        <v>3237654.0049999803</v>
      </c>
      <c r="W233" s="74"/>
      <c r="Z233" s="5"/>
      <c r="AA233" s="109"/>
      <c r="AC233" s="18"/>
      <c r="AD233" s="118"/>
      <c r="AG233" s="7"/>
      <c r="AR233" s="6"/>
      <c r="BZ233" s="5"/>
      <c r="CF233" s="13"/>
    </row>
    <row r="234" spans="1:84" ht="45" x14ac:dyDescent="0.25">
      <c r="A234" s="80" t="s">
        <v>73</v>
      </c>
      <c r="B234" s="80" t="s">
        <v>473</v>
      </c>
      <c r="C234" s="80" t="s">
        <v>474</v>
      </c>
      <c r="D234" s="80" t="s">
        <v>60</v>
      </c>
      <c r="E234" s="80" t="s">
        <v>475</v>
      </c>
      <c r="F234" s="80" t="s">
        <v>476</v>
      </c>
      <c r="G234" s="80" t="s">
        <v>110</v>
      </c>
      <c r="H234" s="80" t="s">
        <v>3</v>
      </c>
      <c r="I234" s="81">
        <v>41456</v>
      </c>
      <c r="J234" s="81">
        <v>41515</v>
      </c>
      <c r="K234" s="81">
        <v>41522</v>
      </c>
      <c r="L234" s="82">
        <v>747823</v>
      </c>
      <c r="M234" s="82"/>
      <c r="N234" s="82"/>
      <c r="O234" s="82"/>
      <c r="P234" s="82"/>
      <c r="Q234" s="82"/>
      <c r="R234" s="82"/>
      <c r="S234" s="82"/>
      <c r="T234" s="82"/>
      <c r="U234" s="82">
        <v>747823</v>
      </c>
      <c r="V234" s="6">
        <f>+V233-Table_MAG_Ledger_Authorized[[#This Row],[Federal Amount]]</f>
        <v>2489831.0049999803</v>
      </c>
      <c r="W234" s="74"/>
      <c r="Z234" s="5"/>
      <c r="AA234" s="109"/>
      <c r="AC234" s="18"/>
      <c r="AD234" s="118"/>
      <c r="AG234" s="7"/>
      <c r="AR234" s="6"/>
      <c r="BZ234" s="5"/>
      <c r="CF234" s="13"/>
    </row>
    <row r="235" spans="1:84" ht="45" x14ac:dyDescent="0.25">
      <c r="A235" s="80" t="s">
        <v>73</v>
      </c>
      <c r="B235" s="80" t="s">
        <v>477</v>
      </c>
      <c r="C235" s="80" t="s">
        <v>478</v>
      </c>
      <c r="D235" s="80" t="s">
        <v>60</v>
      </c>
      <c r="E235" s="80" t="s">
        <v>479</v>
      </c>
      <c r="F235" s="80" t="s">
        <v>480</v>
      </c>
      <c r="G235" s="80" t="s">
        <v>110</v>
      </c>
      <c r="H235" s="80" t="s">
        <v>3</v>
      </c>
      <c r="I235" s="81">
        <v>41456</v>
      </c>
      <c r="J235" s="81">
        <v>41515</v>
      </c>
      <c r="K235" s="81">
        <v>41522</v>
      </c>
      <c r="L235" s="82">
        <v>961105</v>
      </c>
      <c r="M235" s="82"/>
      <c r="N235" s="82"/>
      <c r="O235" s="82"/>
      <c r="P235" s="82"/>
      <c r="Q235" s="82"/>
      <c r="R235" s="82"/>
      <c r="S235" s="82"/>
      <c r="T235" s="82"/>
      <c r="U235" s="82">
        <v>961105</v>
      </c>
      <c r="V235" s="6">
        <f>+V234-Table_MAG_Ledger_Authorized[[#This Row],[Federal Amount]]</f>
        <v>1528726.0049999803</v>
      </c>
      <c r="W235" s="74"/>
      <c r="Z235" s="5"/>
      <c r="AA235" s="109"/>
      <c r="AC235" s="18"/>
      <c r="AD235" s="118"/>
      <c r="AG235" s="7"/>
      <c r="AR235" s="6"/>
      <c r="BZ235" s="5"/>
      <c r="CF235" s="13"/>
    </row>
    <row r="236" spans="1:84" ht="30" x14ac:dyDescent="0.25">
      <c r="A236" s="80" t="s">
        <v>73</v>
      </c>
      <c r="B236" s="80" t="s">
        <v>481</v>
      </c>
      <c r="C236" s="80" t="s">
        <v>482</v>
      </c>
      <c r="D236" s="80" t="s">
        <v>60</v>
      </c>
      <c r="E236" s="80" t="s">
        <v>483</v>
      </c>
      <c r="F236" s="80" t="s">
        <v>484</v>
      </c>
      <c r="G236" s="80" t="s">
        <v>110</v>
      </c>
      <c r="H236" s="80" t="s">
        <v>4</v>
      </c>
      <c r="I236" s="81">
        <v>41437</v>
      </c>
      <c r="J236" s="81">
        <v>41446</v>
      </c>
      <c r="K236" s="81">
        <v>41452</v>
      </c>
      <c r="L236" s="82"/>
      <c r="M236" s="82"/>
      <c r="N236" s="82">
        <v>213834</v>
      </c>
      <c r="O236" s="82"/>
      <c r="P236" s="82"/>
      <c r="Q236" s="82"/>
      <c r="R236" s="82"/>
      <c r="S236" s="82"/>
      <c r="T236" s="82"/>
      <c r="U236" s="82">
        <v>213834</v>
      </c>
      <c r="V236" s="6">
        <f>+V235-Table_MAG_Ledger_Authorized[[#This Row],[Federal Amount]]</f>
        <v>1314892.0049999803</v>
      </c>
      <c r="W236" s="74"/>
      <c r="Z236" s="5"/>
      <c r="AA236" s="109"/>
      <c r="AC236" s="18"/>
      <c r="AD236" s="118"/>
      <c r="AG236" s="7"/>
      <c r="AR236" s="6"/>
      <c r="BZ236" s="5"/>
      <c r="CF236" s="13"/>
    </row>
    <row r="237" spans="1:84" ht="30" x14ac:dyDescent="0.25">
      <c r="A237" s="80" t="s">
        <v>73</v>
      </c>
      <c r="B237" s="80" t="s">
        <v>485</v>
      </c>
      <c r="C237" s="80" t="s">
        <v>486</v>
      </c>
      <c r="D237" s="80" t="s">
        <v>60</v>
      </c>
      <c r="E237" s="80" t="s">
        <v>487</v>
      </c>
      <c r="F237" s="80" t="s">
        <v>488</v>
      </c>
      <c r="G237" s="80" t="s">
        <v>110</v>
      </c>
      <c r="H237" s="80" t="s">
        <v>3</v>
      </c>
      <c r="I237" s="81">
        <v>41456</v>
      </c>
      <c r="J237" s="81">
        <v>41473</v>
      </c>
      <c r="K237" s="81">
        <v>41497</v>
      </c>
      <c r="L237" s="82">
        <v>726110</v>
      </c>
      <c r="M237" s="82"/>
      <c r="N237" s="82"/>
      <c r="O237" s="82"/>
      <c r="P237" s="82"/>
      <c r="Q237" s="82"/>
      <c r="R237" s="82"/>
      <c r="S237" s="82"/>
      <c r="T237" s="82"/>
      <c r="U237" s="82">
        <v>726110</v>
      </c>
      <c r="V237" s="6">
        <f>+V236-Table_MAG_Ledger_Authorized[[#This Row],[Federal Amount]]</f>
        <v>588782.00499998033</v>
      </c>
      <c r="W237" s="74"/>
      <c r="Z237" s="5"/>
      <c r="AA237" s="109"/>
      <c r="AC237" s="18"/>
      <c r="AD237" s="118"/>
      <c r="AG237" s="7"/>
      <c r="AR237" s="6"/>
      <c r="BZ237" s="5"/>
      <c r="CF237" s="13"/>
    </row>
    <row r="238" spans="1:84" x14ac:dyDescent="0.25">
      <c r="A238" s="80" t="s">
        <v>73</v>
      </c>
      <c r="B238" s="80" t="s">
        <v>576</v>
      </c>
      <c r="C238" s="80" t="s">
        <v>577</v>
      </c>
      <c r="D238" s="80" t="s">
        <v>60</v>
      </c>
      <c r="E238" s="80" t="s">
        <v>632</v>
      </c>
      <c r="F238" s="80" t="s">
        <v>578</v>
      </c>
      <c r="G238" s="80" t="s">
        <v>110</v>
      </c>
      <c r="H238" s="80" t="s">
        <v>3</v>
      </c>
      <c r="I238" s="81">
        <v>41470</v>
      </c>
      <c r="J238" s="81">
        <v>41515</v>
      </c>
      <c r="K238" s="81">
        <v>41522</v>
      </c>
      <c r="L238" s="82">
        <v>482057</v>
      </c>
      <c r="M238" s="82"/>
      <c r="N238" s="82"/>
      <c r="O238" s="82"/>
      <c r="P238" s="82"/>
      <c r="Q238" s="82"/>
      <c r="R238" s="82"/>
      <c r="S238" s="82"/>
      <c r="T238" s="82"/>
      <c r="U238" s="82">
        <v>482057</v>
      </c>
      <c r="V238" s="6">
        <f>+V237-Table_MAG_Ledger_Authorized[[#This Row],[Federal Amount]]</f>
        <v>106725.00499998033</v>
      </c>
      <c r="W238" s="74"/>
      <c r="Z238" s="5"/>
      <c r="AA238" s="109"/>
      <c r="AC238" s="18"/>
      <c r="AD238" s="118"/>
      <c r="AG238" s="7"/>
      <c r="AR238" s="6"/>
      <c r="BZ238" s="5"/>
      <c r="CF238" s="13"/>
    </row>
    <row r="239" spans="1:84" ht="30" x14ac:dyDescent="0.25">
      <c r="A239" s="80" t="s">
        <v>73</v>
      </c>
      <c r="B239" s="80" t="s">
        <v>579</v>
      </c>
      <c r="C239" s="80" t="s">
        <v>580</v>
      </c>
      <c r="D239" s="80" t="s">
        <v>62</v>
      </c>
      <c r="E239" s="80" t="s">
        <v>581</v>
      </c>
      <c r="F239" s="80" t="s">
        <v>582</v>
      </c>
      <c r="G239" s="80" t="s">
        <v>110</v>
      </c>
      <c r="H239" s="80" t="s">
        <v>3</v>
      </c>
      <c r="I239" s="81">
        <v>41437</v>
      </c>
      <c r="J239" s="81">
        <v>41452</v>
      </c>
      <c r="K239" s="81">
        <v>41480</v>
      </c>
      <c r="L239" s="82">
        <v>36000</v>
      </c>
      <c r="M239" s="82"/>
      <c r="N239" s="82"/>
      <c r="O239" s="82"/>
      <c r="P239" s="82"/>
      <c r="Q239" s="82"/>
      <c r="R239" s="82"/>
      <c r="S239" s="82"/>
      <c r="T239" s="82"/>
      <c r="U239" s="82">
        <v>36000</v>
      </c>
      <c r="V239" s="6">
        <f>+V238-Table_MAG_Ledger_Authorized[[#This Row],[Federal Amount]]</f>
        <v>70725.00499998033</v>
      </c>
      <c r="W239" s="74"/>
      <c r="Z239" s="5"/>
      <c r="AA239" s="109"/>
      <c r="AC239" s="18"/>
      <c r="AD239" s="118"/>
      <c r="AG239" s="7"/>
      <c r="AR239" s="6"/>
      <c r="BZ239" s="5"/>
      <c r="CF239" s="13"/>
    </row>
    <row r="240" spans="1:84" x14ac:dyDescent="0.25">
      <c r="A240" s="80" t="s">
        <v>73</v>
      </c>
      <c r="B240" s="80" t="s">
        <v>834</v>
      </c>
      <c r="C240" s="80" t="s">
        <v>835</v>
      </c>
      <c r="D240" s="80" t="s">
        <v>836</v>
      </c>
      <c r="E240" s="80" t="s">
        <v>837</v>
      </c>
      <c r="F240" s="80" t="s">
        <v>838</v>
      </c>
      <c r="G240" s="80" t="s">
        <v>73</v>
      </c>
      <c r="H240" s="80" t="s">
        <v>25</v>
      </c>
      <c r="I240" s="81">
        <v>41548</v>
      </c>
      <c r="J240" s="81">
        <v>41548</v>
      </c>
      <c r="K240" s="81">
        <v>41548</v>
      </c>
      <c r="L240" s="82"/>
      <c r="M240" s="82">
        <v>0</v>
      </c>
      <c r="N240" s="82">
        <v>0</v>
      </c>
      <c r="O240" s="82">
        <v>0</v>
      </c>
      <c r="P240" s="82">
        <v>0</v>
      </c>
      <c r="Q240" s="82">
        <v>0</v>
      </c>
      <c r="R240" s="82"/>
      <c r="S240" s="82">
        <v>0</v>
      </c>
      <c r="T240" s="82">
        <v>0</v>
      </c>
      <c r="U240" s="82">
        <v>0</v>
      </c>
      <c r="V240" s="6">
        <f>+V239-Table_MAG_Ledger_Authorized[[#This Row],[Federal Amount]]</f>
        <v>70725.00499998033</v>
      </c>
      <c r="W240" s="74"/>
      <c r="Z240" s="5"/>
      <c r="AA240" s="109"/>
      <c r="AC240" s="18"/>
      <c r="AD240" s="123"/>
      <c r="AG240" s="7"/>
      <c r="AR240" s="6"/>
      <c r="BZ240" s="5"/>
      <c r="CF240" s="13"/>
    </row>
    <row r="241" spans="1:84" x14ac:dyDescent="0.25">
      <c r="A241" s="80" t="s">
        <v>73</v>
      </c>
      <c r="B241" s="80" t="s">
        <v>489</v>
      </c>
      <c r="C241" s="80" t="s">
        <v>529</v>
      </c>
      <c r="D241" s="80" t="s">
        <v>62</v>
      </c>
      <c r="E241" s="80" t="s">
        <v>530</v>
      </c>
      <c r="F241" s="80" t="s">
        <v>490</v>
      </c>
      <c r="G241" s="80" t="s">
        <v>531</v>
      </c>
      <c r="H241" s="80" t="s">
        <v>4</v>
      </c>
      <c r="I241" s="81">
        <v>41445</v>
      </c>
      <c r="J241" s="81">
        <v>41515</v>
      </c>
      <c r="K241" s="81">
        <v>41522</v>
      </c>
      <c r="L241" s="82">
        <v>70725</v>
      </c>
      <c r="M241" s="82"/>
      <c r="N241" s="82"/>
      <c r="O241" s="82"/>
      <c r="P241" s="82"/>
      <c r="Q241" s="82"/>
      <c r="R241" s="82"/>
      <c r="S241" s="82"/>
      <c r="T241" s="82"/>
      <c r="U241" s="82">
        <v>70725</v>
      </c>
      <c r="V241" s="6">
        <f>+V240-Table_MAG_Ledger_Authorized[[#This Row],[Federal Amount]]</f>
        <v>4.9999803304672241E-3</v>
      </c>
      <c r="W241" s="74" t="s">
        <v>657</v>
      </c>
      <c r="Z241" s="5"/>
      <c r="AA241" s="109"/>
      <c r="AC241" s="18"/>
      <c r="AD241" s="11"/>
      <c r="AG241" s="7"/>
      <c r="AR241" s="6"/>
      <c r="BZ241" s="5"/>
      <c r="CF241" s="13"/>
    </row>
    <row r="242" spans="1:84" x14ac:dyDescent="0.25">
      <c r="K242" s="73" t="s">
        <v>655</v>
      </c>
      <c r="L242" s="62">
        <f>SUBTOTAL(109,Table_MAG_Ledger_Authorized[CMAQ])</f>
        <v>53029527.440000005</v>
      </c>
      <c r="M242" s="62">
        <f>SUBTOTAL(109,Table_MAG_Ledger_Authorized[CMAQ 2_5])</f>
        <v>0</v>
      </c>
      <c r="N242" s="62">
        <f>SUBTOTAL(109,Table_MAG_Ledger_Authorized[HSIP])</f>
        <v>3964204.96</v>
      </c>
      <c r="O242" s="62">
        <f>SUBTOTAL(109,Table_MAG_Ledger_Authorized[PL])</f>
        <v>3453919</v>
      </c>
      <c r="P242" s="62">
        <f>SUBTOTAL(109,Table_MAG_Ledger_Authorized[SPR])</f>
        <v>2500000</v>
      </c>
      <c r="Q242" s="62">
        <f>SUBTOTAL(109,Table_MAG_Ledger_Authorized[STP other])</f>
        <v>0</v>
      </c>
      <c r="R242" s="62">
        <f>SUBTOTAL(109,Table_MAG_Ledger_Authorized[STP over 200K])</f>
        <v>29160456.859999999</v>
      </c>
      <c r="S242" s="62">
        <f>SUBTOTAL(109,Table_MAG_Ledger_Authorized[TA other])</f>
        <v>99421</v>
      </c>
      <c r="T242" s="62">
        <f>SUBTOTAL(109,Table_MAG_Ledger_Authorized[TA over 200K])</f>
        <v>1328349</v>
      </c>
      <c r="U242" s="62">
        <f>SUBTOTAL(109,Table_MAG_Ledger_Authorized[Federal Amount])</f>
        <v>93535878.260000005</v>
      </c>
    </row>
    <row r="243" spans="1:84" x14ac:dyDescent="0.25">
      <c r="K243" s="73" t="s">
        <v>656</v>
      </c>
      <c r="L243" s="62">
        <f t="shared" ref="L243:U243" si="2">L14-L242</f>
        <v>8593116.1999999955</v>
      </c>
      <c r="M243" s="62">
        <f t="shared" si="2"/>
        <v>703807</v>
      </c>
      <c r="N243" s="62">
        <f t="shared" si="2"/>
        <v>773860.04</v>
      </c>
      <c r="O243" s="62">
        <f t="shared" si="2"/>
        <v>0</v>
      </c>
      <c r="P243" s="62">
        <f t="shared" si="2"/>
        <v>0</v>
      </c>
      <c r="Q243" s="62">
        <f t="shared" si="2"/>
        <v>4081690</v>
      </c>
      <c r="R243" s="62">
        <f t="shared" si="2"/>
        <v>72622437.149999991</v>
      </c>
      <c r="S243" s="62">
        <f t="shared" si="2"/>
        <v>283603</v>
      </c>
      <c r="T243" s="62">
        <f t="shared" si="2"/>
        <v>2898879</v>
      </c>
      <c r="U243" s="62">
        <f t="shared" si="2"/>
        <v>89957392.390000001</v>
      </c>
    </row>
    <row r="246" spans="1:84" ht="15.75" x14ac:dyDescent="0.25">
      <c r="A246" s="144" t="s">
        <v>63</v>
      </c>
      <c r="B246" s="144"/>
      <c r="C246" s="144"/>
      <c r="D246" s="144"/>
    </row>
    <row r="248" spans="1:84" s="41" customFormat="1" ht="30" x14ac:dyDescent="0.25">
      <c r="A248" s="61" t="s">
        <v>39</v>
      </c>
      <c r="B248" s="61" t="s">
        <v>40</v>
      </c>
      <c r="C248" s="61" t="s">
        <v>41</v>
      </c>
      <c r="D248" s="61" t="s">
        <v>42</v>
      </c>
      <c r="E248" s="61" t="s">
        <v>43</v>
      </c>
      <c r="F248" s="61" t="s">
        <v>44</v>
      </c>
      <c r="G248" s="61" t="s">
        <v>45</v>
      </c>
      <c r="H248" s="61" t="s">
        <v>64</v>
      </c>
      <c r="I248" s="61" t="s">
        <v>46</v>
      </c>
      <c r="J248" s="61" t="s">
        <v>47</v>
      </c>
      <c r="K248" s="61" t="s">
        <v>48</v>
      </c>
      <c r="L248" s="61" t="s">
        <v>71</v>
      </c>
      <c r="M248" s="61" t="s">
        <v>72</v>
      </c>
      <c r="N248" s="61" t="s">
        <v>0</v>
      </c>
      <c r="O248" s="61" t="s">
        <v>50</v>
      </c>
      <c r="P248" s="61" t="s">
        <v>1</v>
      </c>
      <c r="Q248" s="61" t="s">
        <v>2</v>
      </c>
      <c r="R248" s="61" t="s">
        <v>51</v>
      </c>
      <c r="S248" s="61" t="s">
        <v>52</v>
      </c>
      <c r="T248" s="61" t="s">
        <v>53</v>
      </c>
      <c r="U248" s="61" t="s">
        <v>49</v>
      </c>
      <c r="V248" s="63" t="s">
        <v>66</v>
      </c>
      <c r="W248" s="61"/>
      <c r="AA248" s="108"/>
      <c r="AE248" s="57"/>
      <c r="AF248" s="57"/>
      <c r="AG248" s="57"/>
      <c r="AH248" s="61"/>
      <c r="AI248" s="61"/>
      <c r="AJ248" s="61"/>
      <c r="AK248" s="61"/>
      <c r="AL248" s="61"/>
      <c r="AM248" s="61"/>
      <c r="AN248" s="61"/>
      <c r="AO248" s="61"/>
      <c r="AP248" s="61"/>
      <c r="AQ248" s="61"/>
      <c r="AR248" s="61"/>
      <c r="CA248" s="14"/>
      <c r="CB248" s="14"/>
      <c r="CC248" s="14"/>
      <c r="CD248" s="14"/>
      <c r="CE248" s="14"/>
      <c r="CF248" s="14"/>
    </row>
    <row r="249" spans="1:84" x14ac:dyDescent="0.25">
      <c r="A249" s="5" t="s">
        <v>73</v>
      </c>
      <c r="B249" s="5" t="s">
        <v>834</v>
      </c>
      <c r="C249" s="5" t="s">
        <v>835</v>
      </c>
      <c r="D249" s="5" t="s">
        <v>836</v>
      </c>
      <c r="E249" s="5" t="s">
        <v>837</v>
      </c>
      <c r="F249" s="5" t="s">
        <v>838</v>
      </c>
      <c r="G249" s="5" t="s">
        <v>73</v>
      </c>
      <c r="H249" s="5" t="s">
        <v>25</v>
      </c>
      <c r="I249" s="7">
        <v>41548</v>
      </c>
      <c r="J249" s="7">
        <v>41548</v>
      </c>
      <c r="L249" s="6">
        <v>0</v>
      </c>
      <c r="M249" s="6">
        <v>0</v>
      </c>
      <c r="N249" s="6">
        <v>0</v>
      </c>
      <c r="O249" s="6">
        <v>0</v>
      </c>
      <c r="P249" s="6">
        <v>0</v>
      </c>
      <c r="Q249" s="6">
        <v>0</v>
      </c>
      <c r="R249" s="6">
        <v>0</v>
      </c>
      <c r="S249" s="6">
        <v>0</v>
      </c>
      <c r="T249" s="6">
        <v>0</v>
      </c>
      <c r="U249" s="6">
        <v>0</v>
      </c>
      <c r="V249" s="6">
        <f>V241-Table_MAG_Ledger_Not_Authorized[[#This Row],[Federal Amount]]</f>
        <v>4.9999803304672241E-3</v>
      </c>
      <c r="W249" s="6"/>
      <c r="Z249" s="5"/>
      <c r="AA249" s="109"/>
      <c r="AC249" s="18"/>
      <c r="AD249" s="11"/>
      <c r="AG249" s="7"/>
      <c r="AR249" s="6"/>
      <c r="BZ249" s="5"/>
      <c r="CF249" s="13"/>
    </row>
    <row r="250" spans="1:84" x14ac:dyDescent="0.25">
      <c r="K250" s="72" t="s">
        <v>655</v>
      </c>
      <c r="L250" s="62">
        <f>SUBTOTAL(109,Table_MAG_Ledger_Not_Authorized[CMAQ])</f>
        <v>0</v>
      </c>
      <c r="M250" s="62">
        <f>SUBTOTAL(109,Table_MAG_Ledger_Not_Authorized[CMAQ 2_5])</f>
        <v>0</v>
      </c>
      <c r="N250" s="62">
        <f>SUBTOTAL(109,Table_MAG_Ledger_Not_Authorized[HSIP])</f>
        <v>0</v>
      </c>
      <c r="O250" s="62">
        <f>SUBTOTAL(109,Table_MAG_Ledger_Not_Authorized[PL])</f>
        <v>0</v>
      </c>
      <c r="P250" s="62">
        <f>SUBTOTAL(109,Table_MAG_Ledger_Not_Authorized[SPR])</f>
        <v>0</v>
      </c>
      <c r="Q250" s="62">
        <f>SUBTOTAL(109,Table_MAG_Ledger_Not_Authorized[STP other])</f>
        <v>0</v>
      </c>
      <c r="R250" s="62">
        <f>SUBTOTAL(109,Table_MAG_Ledger_Not_Authorized[STP over 200K])</f>
        <v>0</v>
      </c>
      <c r="S250" s="62">
        <f>SUBTOTAL(109,Table_MAG_Ledger_Not_Authorized[TA other])</f>
        <v>0</v>
      </c>
      <c r="T250" s="62">
        <f>SUBTOTAL(109,Table_MAG_Ledger_Not_Authorized[TA over 200K])</f>
        <v>0</v>
      </c>
      <c r="U250" s="62">
        <f>SUBTOTAL(109,Table_MAG_Ledger_Not_Authorized[Federal Amount])</f>
        <v>0</v>
      </c>
    </row>
    <row r="251" spans="1:84" x14ac:dyDescent="0.25">
      <c r="K251" s="125" t="s">
        <v>656</v>
      </c>
      <c r="L251" s="62">
        <f t="shared" ref="L251:U251" si="3">L243-L250</f>
        <v>8593116.1999999955</v>
      </c>
      <c r="M251" s="62">
        <f t="shared" si="3"/>
        <v>703807</v>
      </c>
      <c r="N251" s="62">
        <f t="shared" si="3"/>
        <v>773860.04</v>
      </c>
      <c r="O251" s="62">
        <f t="shared" si="3"/>
        <v>0</v>
      </c>
      <c r="P251" s="62">
        <f t="shared" si="3"/>
        <v>0</v>
      </c>
      <c r="Q251" s="62">
        <f t="shared" si="3"/>
        <v>4081690</v>
      </c>
      <c r="R251" s="62">
        <f t="shared" si="3"/>
        <v>72622437.149999991</v>
      </c>
      <c r="S251" s="62">
        <f t="shared" si="3"/>
        <v>283603</v>
      </c>
      <c r="T251" s="62">
        <f t="shared" si="3"/>
        <v>2898879</v>
      </c>
      <c r="U251" s="62">
        <f t="shared" si="3"/>
        <v>89957392.390000001</v>
      </c>
      <c r="V251" s="62">
        <v>0</v>
      </c>
    </row>
    <row r="252" spans="1:84" customFormat="1" x14ac:dyDescent="0.25"/>
    <row r="253" spans="1:84" customFormat="1" ht="15.75" thickBot="1" x14ac:dyDescent="0.3"/>
    <row r="254" spans="1:84" customFormat="1" x14ac:dyDescent="0.25">
      <c r="A254" s="126" t="s">
        <v>850</v>
      </c>
      <c r="L254" s="137" t="s">
        <v>9</v>
      </c>
      <c r="M254" s="138"/>
      <c r="N254" s="138"/>
      <c r="O254" s="138"/>
      <c r="P254" s="138"/>
      <c r="Q254" s="138"/>
      <c r="R254" s="138"/>
      <c r="S254" s="138"/>
      <c r="T254" s="138"/>
      <c r="U254" s="139"/>
      <c r="V254" s="135" t="s">
        <v>15</v>
      </c>
    </row>
    <row r="255" spans="1:84" customFormat="1" x14ac:dyDescent="0.25">
      <c r="L255" s="30" t="s">
        <v>71</v>
      </c>
      <c r="M255" s="29" t="s">
        <v>72</v>
      </c>
      <c r="N255" s="29" t="s">
        <v>532</v>
      </c>
      <c r="O255" s="29" t="s">
        <v>50</v>
      </c>
      <c r="P255" s="29" t="s">
        <v>1</v>
      </c>
      <c r="Q255" s="29" t="s">
        <v>2</v>
      </c>
      <c r="R255" s="29" t="s">
        <v>51</v>
      </c>
      <c r="S255" s="29" t="s">
        <v>52</v>
      </c>
      <c r="T255" s="29" t="s">
        <v>53</v>
      </c>
      <c r="U255" s="31" t="s">
        <v>7</v>
      </c>
      <c r="V255" s="136"/>
    </row>
    <row r="256" spans="1:84" ht="15" customHeight="1" x14ac:dyDescent="0.25">
      <c r="J256" s="72"/>
      <c r="K256" s="127" t="s">
        <v>851</v>
      </c>
      <c r="L256" s="62">
        <v>0</v>
      </c>
      <c r="M256" s="62">
        <v>0</v>
      </c>
      <c r="N256" s="62">
        <f>-N251</f>
        <v>-773860.04</v>
      </c>
      <c r="O256" s="62">
        <v>0</v>
      </c>
      <c r="P256" s="62">
        <v>0</v>
      </c>
      <c r="Q256" s="62">
        <v>0</v>
      </c>
      <c r="R256" s="62">
        <v>0</v>
      </c>
      <c r="S256" s="62">
        <v>0</v>
      </c>
      <c r="T256" s="62">
        <v>0</v>
      </c>
      <c r="U256" s="62">
        <f>+SUM(L256:T256)</f>
        <v>-773860.04</v>
      </c>
      <c r="V256" s="62">
        <v>0</v>
      </c>
    </row>
    <row r="257" spans="1:29" x14ac:dyDescent="0.25">
      <c r="K257" s="125" t="s">
        <v>852</v>
      </c>
      <c r="L257" s="62">
        <f t="shared" ref="L257:U257" si="4">+L251+L256</f>
        <v>8593116.1999999955</v>
      </c>
      <c r="M257" s="62">
        <f t="shared" si="4"/>
        <v>703807</v>
      </c>
      <c r="N257" s="62">
        <f t="shared" si="4"/>
        <v>0</v>
      </c>
      <c r="O257" s="62">
        <f t="shared" si="4"/>
        <v>0</v>
      </c>
      <c r="P257" s="62">
        <f t="shared" si="4"/>
        <v>0</v>
      </c>
      <c r="Q257" s="62">
        <f t="shared" si="4"/>
        <v>4081690</v>
      </c>
      <c r="R257" s="62">
        <f t="shared" si="4"/>
        <v>72622437.149999991</v>
      </c>
      <c r="S257" s="62">
        <f t="shared" si="4"/>
        <v>283603</v>
      </c>
      <c r="T257" s="62">
        <f t="shared" si="4"/>
        <v>2898879</v>
      </c>
      <c r="U257" s="62">
        <f t="shared" si="4"/>
        <v>89183532.349999994</v>
      </c>
      <c r="V257" s="62">
        <v>0</v>
      </c>
      <c r="AC257" s="124"/>
    </row>
    <row r="258" spans="1:29" x14ac:dyDescent="0.25">
      <c r="I258" s="5"/>
      <c r="J258" s="5"/>
      <c r="AC258" s="124"/>
    </row>
    <row r="259" spans="1:29" x14ac:dyDescent="0.25">
      <c r="AC259" s="124"/>
    </row>
    <row r="262" spans="1:29" ht="122.25" customHeight="1" x14ac:dyDescent="0.25">
      <c r="A262" s="131" t="s">
        <v>787</v>
      </c>
      <c r="B262" s="131"/>
      <c r="C262" s="131"/>
      <c r="D262" s="131"/>
      <c r="E262" s="131"/>
      <c r="F262" s="131"/>
      <c r="G262" s="131"/>
    </row>
  </sheetData>
  <sheetProtection autoFilter="0"/>
  <sortState ref="AA2:AA235">
    <sortCondition ref="AA19:AA170"/>
  </sortState>
  <mergeCells count="24">
    <mergeCell ref="L254:U254"/>
    <mergeCell ref="V254:V255"/>
    <mergeCell ref="A262:G262"/>
    <mergeCell ref="A246:D246"/>
    <mergeCell ref="I6:K6"/>
    <mergeCell ref="I7:K7"/>
    <mergeCell ref="I8:K8"/>
    <mergeCell ref="I9:K9"/>
    <mergeCell ref="I10:K10"/>
    <mergeCell ref="I14:K14"/>
    <mergeCell ref="I12:K12"/>
    <mergeCell ref="A16:D16"/>
    <mergeCell ref="I13:K13"/>
    <mergeCell ref="AD14:AF14"/>
    <mergeCell ref="A1:F1"/>
    <mergeCell ref="A3:F4"/>
    <mergeCell ref="A7:F7"/>
    <mergeCell ref="I3:K3"/>
    <mergeCell ref="A5:B5"/>
    <mergeCell ref="V2:V3"/>
    <mergeCell ref="L2:U2"/>
    <mergeCell ref="I4:K4"/>
    <mergeCell ref="I5:K5"/>
    <mergeCell ref="I11:K11"/>
  </mergeCells>
  <pageMargins left="0.5" right="0.25" top="0.75" bottom="0.75" header="0.3" footer="0.3"/>
  <pageSetup paperSize="17" scale="58" fitToHeight="0" orientation="landscape" horizontalDpi="1200" verticalDpi="1200" r:id="rId1"/>
  <headerFooter>
    <oddFooter>&amp;L&amp;8&amp;Z&amp;F&amp;R&amp;P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8"/>
  <sheetViews>
    <sheetView topLeftCell="A10" workbookViewId="0">
      <selection activeCell="H47" sqref="H47"/>
    </sheetView>
  </sheetViews>
  <sheetFormatPr defaultColWidth="29" defaultRowHeight="15" x14ac:dyDescent="0.25"/>
  <cols>
    <col min="1" max="1" width="10.42578125" style="27" customWidth="1"/>
    <col min="2" max="2" width="15" style="27" bestFit="1" customWidth="1"/>
    <col min="3" max="3" width="14.5703125" style="27" customWidth="1"/>
    <col min="4" max="4" width="24.42578125" style="27" customWidth="1"/>
    <col min="5" max="5" width="14.42578125" style="27" customWidth="1"/>
    <col min="6" max="6" width="22.85546875" style="27" customWidth="1"/>
    <col min="7" max="7" width="10.42578125" style="27" bestFit="1" customWidth="1"/>
    <col min="8" max="8" width="60.42578125" style="27" bestFit="1" customWidth="1"/>
    <col min="9" max="9" width="10.5703125" style="27" bestFit="1" customWidth="1"/>
    <col min="10" max="10" width="11" style="27" bestFit="1" customWidth="1"/>
    <col min="11" max="11" width="14.42578125" style="27" bestFit="1" customWidth="1"/>
    <col min="12" max="12" width="9.85546875" style="27" bestFit="1" customWidth="1"/>
    <col min="13" max="13" width="7.28515625" style="27" bestFit="1" customWidth="1"/>
    <col min="14" max="14" width="8.5703125" style="27" bestFit="1" customWidth="1"/>
    <col min="15" max="15" width="13.7109375" bestFit="1" customWidth="1"/>
    <col min="16" max="16" width="17.5703125" bestFit="1" customWidth="1"/>
    <col min="17" max="17" width="12.85546875" bestFit="1" customWidth="1"/>
    <col min="18" max="18" width="16.5703125" bestFit="1" customWidth="1"/>
  </cols>
  <sheetData>
    <row r="1" spans="1:20" ht="18.75" x14ac:dyDescent="0.25">
      <c r="A1" s="129" t="s">
        <v>70</v>
      </c>
      <c r="B1" s="129"/>
      <c r="C1" s="129"/>
      <c r="D1" s="129"/>
      <c r="E1" s="129"/>
      <c r="F1" s="129"/>
    </row>
    <row r="3" spans="1:20" ht="15" customHeight="1" x14ac:dyDescent="0.25">
      <c r="A3" s="130" t="s">
        <v>595</v>
      </c>
      <c r="B3" s="130"/>
      <c r="C3" s="130"/>
      <c r="D3" s="130"/>
      <c r="E3" s="130"/>
      <c r="F3" s="130"/>
      <c r="G3" s="130"/>
      <c r="H3" s="130"/>
      <c r="I3" s="130"/>
      <c r="J3" s="130"/>
      <c r="K3" s="130"/>
    </row>
    <row r="4" spans="1:20" ht="6" customHeight="1" x14ac:dyDescent="0.25">
      <c r="A4" s="130"/>
      <c r="B4" s="130"/>
      <c r="C4" s="130"/>
      <c r="D4" s="130"/>
      <c r="E4" s="130"/>
      <c r="F4" s="130"/>
      <c r="G4" s="130"/>
      <c r="H4" s="130"/>
      <c r="I4" s="130"/>
      <c r="J4" s="130"/>
      <c r="K4" s="130"/>
      <c r="L4" s="19"/>
      <c r="M4" s="19"/>
      <c r="N4" s="17"/>
      <c r="O4" s="13"/>
      <c r="P4" s="13"/>
      <c r="Q4" s="13"/>
      <c r="R4" s="13"/>
      <c r="S4" s="13"/>
      <c r="T4" s="13"/>
    </row>
    <row r="5" spans="1:20" ht="18.75" customHeight="1" x14ac:dyDescent="0.25">
      <c r="A5" s="119" t="s">
        <v>788</v>
      </c>
      <c r="B5" s="24"/>
      <c r="C5" s="24"/>
      <c r="D5" s="24"/>
      <c r="E5" s="24"/>
      <c r="F5" s="24"/>
      <c r="G5" s="23"/>
      <c r="H5" s="23"/>
      <c r="I5" s="23"/>
      <c r="J5" s="23"/>
      <c r="K5" s="21"/>
      <c r="L5" s="19"/>
      <c r="M5" s="19"/>
      <c r="N5" s="17"/>
      <c r="O5" s="13"/>
      <c r="P5" s="13"/>
      <c r="Q5" s="13"/>
      <c r="R5" s="13"/>
      <c r="S5" s="13"/>
      <c r="T5" s="13"/>
    </row>
    <row r="6" spans="1:20" ht="18.75" customHeight="1" x14ac:dyDescent="0.25">
      <c r="A6" s="131" t="s">
        <v>12</v>
      </c>
      <c r="B6" s="131"/>
      <c r="C6" s="131"/>
      <c r="D6" s="131"/>
      <c r="E6" s="131"/>
      <c r="F6" s="131"/>
      <c r="G6" s="23"/>
      <c r="H6" s="23"/>
      <c r="I6" s="23"/>
      <c r="J6" s="23"/>
      <c r="K6" s="21"/>
      <c r="L6" s="19"/>
      <c r="M6" s="19"/>
      <c r="N6" s="17"/>
      <c r="O6" s="13"/>
      <c r="P6" s="13"/>
      <c r="Q6" s="13"/>
      <c r="R6" s="13"/>
      <c r="S6" s="13"/>
      <c r="T6" s="13"/>
    </row>
    <row r="7" spans="1:20" ht="18.75" customHeight="1" x14ac:dyDescent="0.25">
      <c r="A7" s="25"/>
      <c r="B7" s="25"/>
      <c r="C7" s="25"/>
      <c r="D7" s="25"/>
      <c r="E7" s="25"/>
      <c r="F7" s="25"/>
      <c r="G7" s="23"/>
      <c r="H7" s="23"/>
      <c r="I7" s="23"/>
      <c r="J7" s="23"/>
      <c r="K7" s="21"/>
      <c r="L7" s="19"/>
      <c r="M7" s="19"/>
      <c r="N7" s="17"/>
      <c r="O7" s="13"/>
      <c r="P7" s="13"/>
      <c r="Q7" s="13"/>
      <c r="R7" s="13"/>
      <c r="S7" s="13"/>
      <c r="T7" s="13"/>
    </row>
    <row r="8" spans="1:20" ht="15.75" customHeight="1" x14ac:dyDescent="0.25">
      <c r="A8" s="144" t="s">
        <v>610</v>
      </c>
      <c r="B8" s="144"/>
      <c r="C8" s="144"/>
      <c r="D8" s="144"/>
      <c r="E8" s="144"/>
      <c r="F8" s="144"/>
      <c r="G8" s="144"/>
      <c r="H8" s="44"/>
      <c r="I8" s="13"/>
      <c r="J8" s="13"/>
      <c r="K8" s="21"/>
      <c r="L8" s="19"/>
      <c r="M8" s="19"/>
      <c r="N8" s="17"/>
      <c r="O8" s="13"/>
      <c r="P8" s="13"/>
      <c r="Q8" s="13"/>
      <c r="R8" s="13"/>
      <c r="S8" s="13"/>
      <c r="T8" s="13"/>
    </row>
    <row r="9" spans="1:20" ht="15.75" x14ac:dyDescent="0.25">
      <c r="A9" s="23"/>
      <c r="B9" s="23"/>
      <c r="C9" s="23"/>
      <c r="D9" s="23"/>
      <c r="E9" s="20"/>
      <c r="F9" s="18"/>
      <c r="G9" s="13"/>
      <c r="H9" s="13"/>
      <c r="I9" s="13"/>
      <c r="J9" s="13"/>
      <c r="K9" s="21"/>
      <c r="L9" s="19"/>
      <c r="M9" s="19"/>
      <c r="N9" s="17"/>
      <c r="O9" s="13"/>
      <c r="P9" s="13"/>
      <c r="Q9" s="13"/>
      <c r="R9" s="13"/>
      <c r="S9" s="13"/>
      <c r="T9" s="13"/>
    </row>
    <row r="10" spans="1:20" s="51" customFormat="1" ht="30" x14ac:dyDescent="0.25">
      <c r="A10" s="47" t="s">
        <v>596</v>
      </c>
      <c r="B10" s="48" t="s">
        <v>597</v>
      </c>
      <c r="C10" s="48" t="s">
        <v>10</v>
      </c>
      <c r="D10" s="48" t="s">
        <v>67</v>
      </c>
      <c r="E10" s="48" t="s">
        <v>68</v>
      </c>
      <c r="F10" s="48" t="s">
        <v>69</v>
      </c>
      <c r="G10" s="48" t="s">
        <v>598</v>
      </c>
      <c r="H10" s="48" t="s">
        <v>599</v>
      </c>
      <c r="I10" s="49" t="s">
        <v>7</v>
      </c>
      <c r="J10" s="49" t="s">
        <v>71</v>
      </c>
      <c r="K10" s="49" t="s">
        <v>72</v>
      </c>
      <c r="L10" s="49" t="s">
        <v>0</v>
      </c>
      <c r="M10" s="49" t="s">
        <v>50</v>
      </c>
      <c r="N10" s="49" t="s">
        <v>1</v>
      </c>
      <c r="O10" s="49" t="s">
        <v>2</v>
      </c>
      <c r="P10" s="49" t="s">
        <v>51</v>
      </c>
      <c r="Q10" s="49" t="s">
        <v>52</v>
      </c>
      <c r="R10" s="50" t="s">
        <v>53</v>
      </c>
    </row>
    <row r="11" spans="1:20" s="45" customFormat="1" hidden="1" x14ac:dyDescent="0.25">
      <c r="A11" s="120"/>
      <c r="B11" s="120" t="s">
        <v>600</v>
      </c>
      <c r="C11" s="120"/>
      <c r="D11" s="120" t="s">
        <v>73</v>
      </c>
      <c r="E11" s="121"/>
      <c r="F11" s="121"/>
      <c r="G11" s="121" t="s">
        <v>834</v>
      </c>
      <c r="H11" s="121" t="s">
        <v>839</v>
      </c>
      <c r="I11" s="122">
        <v>0</v>
      </c>
      <c r="J11" s="122">
        <v>0</v>
      </c>
      <c r="K11" s="122">
        <v>0</v>
      </c>
      <c r="L11" s="122">
        <v>0</v>
      </c>
      <c r="M11" s="122">
        <v>0</v>
      </c>
      <c r="N11" s="122">
        <v>0</v>
      </c>
      <c r="O11" s="122">
        <v>0</v>
      </c>
      <c r="P11" s="122">
        <v>0</v>
      </c>
      <c r="Q11" s="122">
        <v>0</v>
      </c>
      <c r="R11" s="122">
        <v>0</v>
      </c>
    </row>
    <row r="12" spans="1:20" s="45" customFormat="1" hidden="1" x14ac:dyDescent="0.25">
      <c r="A12" s="114"/>
      <c r="B12" s="114" t="s">
        <v>840</v>
      </c>
      <c r="C12" s="114"/>
      <c r="D12" s="114" t="s">
        <v>73</v>
      </c>
      <c r="E12" s="115"/>
      <c r="F12" s="115"/>
      <c r="G12" s="115" t="s">
        <v>834</v>
      </c>
      <c r="H12" s="115" t="s">
        <v>839</v>
      </c>
      <c r="I12" s="116">
        <v>0</v>
      </c>
      <c r="J12" s="116">
        <v>0</v>
      </c>
      <c r="K12" s="116">
        <v>0</v>
      </c>
      <c r="L12" s="116">
        <v>0</v>
      </c>
      <c r="M12" s="116">
        <v>0</v>
      </c>
      <c r="N12" s="116">
        <v>0</v>
      </c>
      <c r="O12" s="116">
        <v>0</v>
      </c>
      <c r="P12" s="116">
        <v>0</v>
      </c>
      <c r="Q12" s="116">
        <v>0</v>
      </c>
      <c r="R12" s="116">
        <v>0</v>
      </c>
    </row>
    <row r="13" spans="1:20" s="45" customFormat="1" hidden="1" x14ac:dyDescent="0.25">
      <c r="A13" s="114"/>
      <c r="B13" s="114" t="s">
        <v>841</v>
      </c>
      <c r="C13" s="114"/>
      <c r="D13" s="114" t="s">
        <v>73</v>
      </c>
      <c r="E13" s="115"/>
      <c r="F13" s="115"/>
      <c r="G13" s="115" t="s">
        <v>834</v>
      </c>
      <c r="H13" s="115" t="s">
        <v>839</v>
      </c>
      <c r="I13" s="116">
        <v>0</v>
      </c>
      <c r="J13" s="116">
        <v>0</v>
      </c>
      <c r="K13" s="116">
        <v>0</v>
      </c>
      <c r="L13" s="116">
        <v>0</v>
      </c>
      <c r="M13" s="116">
        <v>0</v>
      </c>
      <c r="N13" s="116">
        <v>0</v>
      </c>
      <c r="O13" s="116">
        <v>0</v>
      </c>
      <c r="P13" s="116">
        <v>0</v>
      </c>
      <c r="Q13" s="116">
        <v>0</v>
      </c>
      <c r="R13" s="116">
        <v>0</v>
      </c>
    </row>
    <row r="14" spans="1:20" s="45" customFormat="1" hidden="1" x14ac:dyDescent="0.25">
      <c r="A14" s="114"/>
      <c r="B14" s="114" t="s">
        <v>601</v>
      </c>
      <c r="C14" s="114"/>
      <c r="D14" s="114" t="s">
        <v>73</v>
      </c>
      <c r="E14" s="115"/>
      <c r="F14" s="115"/>
      <c r="G14" s="115" t="s">
        <v>834</v>
      </c>
      <c r="H14" s="115" t="s">
        <v>839</v>
      </c>
      <c r="I14" s="116">
        <v>0</v>
      </c>
      <c r="J14" s="116">
        <v>0</v>
      </c>
      <c r="K14" s="116">
        <v>0</v>
      </c>
      <c r="L14" s="116">
        <v>0</v>
      </c>
      <c r="M14" s="116">
        <v>0</v>
      </c>
      <c r="N14" s="116">
        <v>0</v>
      </c>
      <c r="O14" s="116">
        <v>0</v>
      </c>
      <c r="P14" s="116">
        <v>0</v>
      </c>
      <c r="Q14" s="116">
        <v>0</v>
      </c>
      <c r="R14" s="116">
        <v>0</v>
      </c>
    </row>
    <row r="15" spans="1:20" s="45" customFormat="1" hidden="1" x14ac:dyDescent="0.25">
      <c r="A15" s="114"/>
      <c r="B15" s="114" t="s">
        <v>602</v>
      </c>
      <c r="C15" s="114"/>
      <c r="D15" s="114" t="s">
        <v>73</v>
      </c>
      <c r="E15" s="115"/>
      <c r="F15" s="115"/>
      <c r="G15" s="115" t="s">
        <v>834</v>
      </c>
      <c r="H15" s="115" t="s">
        <v>839</v>
      </c>
      <c r="I15" s="116">
        <v>0</v>
      </c>
      <c r="J15" s="116">
        <v>0</v>
      </c>
      <c r="K15" s="116">
        <v>0</v>
      </c>
      <c r="L15" s="116">
        <v>0</v>
      </c>
      <c r="M15" s="116">
        <v>0</v>
      </c>
      <c r="N15" s="116">
        <v>0</v>
      </c>
      <c r="O15" s="116">
        <v>0</v>
      </c>
      <c r="P15" s="116">
        <v>0</v>
      </c>
      <c r="Q15" s="116">
        <v>0</v>
      </c>
      <c r="R15" s="116">
        <v>0</v>
      </c>
    </row>
    <row r="16" spans="1:20" s="45" customFormat="1" hidden="1" x14ac:dyDescent="0.25">
      <c r="A16" s="114"/>
      <c r="B16" s="114" t="s">
        <v>842</v>
      </c>
      <c r="C16" s="114"/>
      <c r="D16" s="114" t="s">
        <v>73</v>
      </c>
      <c r="E16" s="115"/>
      <c r="F16" s="115"/>
      <c r="G16" s="115" t="s">
        <v>834</v>
      </c>
      <c r="H16" s="115" t="s">
        <v>839</v>
      </c>
      <c r="I16" s="116">
        <v>0</v>
      </c>
      <c r="J16" s="116">
        <v>0</v>
      </c>
      <c r="K16" s="116">
        <v>0</v>
      </c>
      <c r="L16" s="116">
        <v>0</v>
      </c>
      <c r="M16" s="116">
        <v>0</v>
      </c>
      <c r="N16" s="116">
        <v>0</v>
      </c>
      <c r="O16" s="116">
        <v>0</v>
      </c>
      <c r="P16" s="116">
        <v>0</v>
      </c>
      <c r="Q16" s="116">
        <v>0</v>
      </c>
      <c r="R16" s="116">
        <v>0</v>
      </c>
    </row>
    <row r="17" spans="1:18" s="45" customFormat="1" x14ac:dyDescent="0.25">
      <c r="A17" s="120" t="s">
        <v>603</v>
      </c>
      <c r="B17" s="120" t="s">
        <v>600</v>
      </c>
      <c r="C17" s="120" t="s">
        <v>845</v>
      </c>
      <c r="D17" s="120" t="s">
        <v>762</v>
      </c>
      <c r="E17" s="121" t="s">
        <v>73</v>
      </c>
      <c r="F17" s="121" t="s">
        <v>846</v>
      </c>
      <c r="G17" s="121"/>
      <c r="H17" s="121" t="s">
        <v>847</v>
      </c>
      <c r="I17" s="122">
        <v>1250000</v>
      </c>
      <c r="J17" s="122"/>
      <c r="K17" s="122"/>
      <c r="L17" s="122"/>
      <c r="M17" s="122"/>
      <c r="N17" s="122">
        <v>1250000</v>
      </c>
      <c r="O17" s="122"/>
      <c r="P17" s="122"/>
      <c r="Q17" s="122"/>
      <c r="R17" s="122"/>
    </row>
    <row r="18" spans="1:18" s="45" customFormat="1" x14ac:dyDescent="0.25">
      <c r="A18" s="114" t="s">
        <v>603</v>
      </c>
      <c r="B18" s="114" t="s">
        <v>600</v>
      </c>
      <c r="C18" s="114" t="s">
        <v>604</v>
      </c>
      <c r="D18" s="114" t="s">
        <v>73</v>
      </c>
      <c r="E18" s="115" t="s">
        <v>592</v>
      </c>
      <c r="F18" s="115"/>
      <c r="G18" s="115"/>
      <c r="H18" s="115" t="s">
        <v>605</v>
      </c>
      <c r="I18" s="116">
        <v>1015069</v>
      </c>
      <c r="J18" s="116"/>
      <c r="K18" s="116"/>
      <c r="L18" s="116"/>
      <c r="M18" s="116"/>
      <c r="N18" s="116"/>
      <c r="O18" s="116">
        <v>1015069</v>
      </c>
      <c r="P18" s="116"/>
      <c r="Q18" s="116"/>
      <c r="R18" s="116"/>
    </row>
    <row r="19" spans="1:18" s="45" customFormat="1" x14ac:dyDescent="0.25">
      <c r="A19" s="114" t="s">
        <v>603</v>
      </c>
      <c r="B19" s="114" t="s">
        <v>602</v>
      </c>
      <c r="C19" s="114" t="s">
        <v>606</v>
      </c>
      <c r="D19" s="114" t="s">
        <v>593</v>
      </c>
      <c r="E19" s="115" t="s">
        <v>73</v>
      </c>
      <c r="F19" s="115" t="s">
        <v>607</v>
      </c>
      <c r="G19" s="115"/>
      <c r="H19" s="115" t="s">
        <v>608</v>
      </c>
      <c r="I19" s="116">
        <v>565445</v>
      </c>
      <c r="J19" s="116"/>
      <c r="K19" s="116"/>
      <c r="L19" s="116"/>
      <c r="M19" s="116"/>
      <c r="N19" s="116"/>
      <c r="O19" s="116">
        <v>565445</v>
      </c>
      <c r="P19" s="116"/>
      <c r="Q19" s="116"/>
      <c r="R19" s="116"/>
    </row>
    <row r="20" spans="1:18" s="45" customFormat="1" x14ac:dyDescent="0.25">
      <c r="A20" s="114" t="s">
        <v>603</v>
      </c>
      <c r="B20" s="114" t="s">
        <v>602</v>
      </c>
      <c r="C20" s="114" t="s">
        <v>761</v>
      </c>
      <c r="D20" s="114" t="s">
        <v>762</v>
      </c>
      <c r="E20" s="115" t="s">
        <v>73</v>
      </c>
      <c r="F20" s="115" t="s">
        <v>603</v>
      </c>
      <c r="G20" s="115" t="s">
        <v>292</v>
      </c>
      <c r="H20" s="115" t="s">
        <v>763</v>
      </c>
      <c r="I20" s="116">
        <v>1722861</v>
      </c>
      <c r="J20" s="116"/>
      <c r="K20" s="116"/>
      <c r="L20" s="116">
        <v>1722861</v>
      </c>
      <c r="M20" s="116"/>
      <c r="N20" s="116"/>
      <c r="O20" s="116"/>
      <c r="P20" s="116"/>
      <c r="Q20" s="116"/>
      <c r="R20" s="116"/>
    </row>
    <row r="21" spans="1:18" s="45" customFormat="1" x14ac:dyDescent="0.25">
      <c r="A21" s="114" t="s">
        <v>603</v>
      </c>
      <c r="B21" s="114" t="s">
        <v>602</v>
      </c>
      <c r="C21" s="114" t="s">
        <v>764</v>
      </c>
      <c r="D21" s="114" t="s">
        <v>762</v>
      </c>
      <c r="E21" s="115" t="s">
        <v>73</v>
      </c>
      <c r="F21" s="115" t="s">
        <v>603</v>
      </c>
      <c r="G21" s="115" t="s">
        <v>405</v>
      </c>
      <c r="H21" s="115" t="s">
        <v>763</v>
      </c>
      <c r="I21" s="116">
        <v>647765</v>
      </c>
      <c r="J21" s="116"/>
      <c r="K21" s="116"/>
      <c r="L21" s="116">
        <v>647765</v>
      </c>
      <c r="M21" s="116"/>
      <c r="N21" s="116"/>
      <c r="O21" s="116"/>
      <c r="P21" s="116"/>
      <c r="Q21" s="116"/>
      <c r="R21" s="116"/>
    </row>
    <row r="22" spans="1:18" s="45" customFormat="1" x14ac:dyDescent="0.25">
      <c r="A22" s="114" t="s">
        <v>603</v>
      </c>
      <c r="B22" s="114" t="s">
        <v>602</v>
      </c>
      <c r="C22" s="114" t="s">
        <v>765</v>
      </c>
      <c r="D22" s="114" t="s">
        <v>762</v>
      </c>
      <c r="E22" s="115" t="s">
        <v>73</v>
      </c>
      <c r="F22" s="115" t="s">
        <v>603</v>
      </c>
      <c r="G22" s="115" t="s">
        <v>409</v>
      </c>
      <c r="H22" s="115" t="s">
        <v>763</v>
      </c>
      <c r="I22" s="116">
        <v>775618</v>
      </c>
      <c r="J22" s="116"/>
      <c r="K22" s="116"/>
      <c r="L22" s="116">
        <v>775618</v>
      </c>
      <c r="M22" s="116"/>
      <c r="N22" s="116"/>
      <c r="O22" s="116"/>
      <c r="P22" s="116"/>
      <c r="Q22" s="116"/>
      <c r="R22" s="116"/>
    </row>
    <row r="23" spans="1:18" s="45" customFormat="1" x14ac:dyDescent="0.25">
      <c r="A23" s="114" t="s">
        <v>603</v>
      </c>
      <c r="B23" s="114" t="s">
        <v>602</v>
      </c>
      <c r="C23" s="114" t="s">
        <v>766</v>
      </c>
      <c r="D23" s="114" t="s">
        <v>762</v>
      </c>
      <c r="E23" s="115" t="s">
        <v>73</v>
      </c>
      <c r="F23" s="115" t="s">
        <v>603</v>
      </c>
      <c r="G23" s="115" t="s">
        <v>470</v>
      </c>
      <c r="H23" s="115" t="s">
        <v>763</v>
      </c>
      <c r="I23" s="116">
        <v>203637</v>
      </c>
      <c r="J23" s="116"/>
      <c r="K23" s="116"/>
      <c r="L23" s="116">
        <v>203637</v>
      </c>
      <c r="M23" s="116"/>
      <c r="N23" s="116"/>
      <c r="O23" s="116"/>
      <c r="P23" s="116"/>
      <c r="Q23" s="116"/>
      <c r="R23" s="116"/>
    </row>
    <row r="24" spans="1:18" s="45" customFormat="1" x14ac:dyDescent="0.25">
      <c r="A24" s="114" t="s">
        <v>846</v>
      </c>
      <c r="B24" s="114" t="s">
        <v>601</v>
      </c>
      <c r="C24" s="114" t="s">
        <v>845</v>
      </c>
      <c r="D24" s="114" t="s">
        <v>73</v>
      </c>
      <c r="E24" s="115" t="s">
        <v>762</v>
      </c>
      <c r="F24" s="115" t="s">
        <v>846</v>
      </c>
      <c r="G24" s="115"/>
      <c r="H24" s="115" t="s">
        <v>848</v>
      </c>
      <c r="I24" s="116">
        <v>-1250000</v>
      </c>
      <c r="J24" s="116"/>
      <c r="K24" s="116"/>
      <c r="L24" s="116"/>
      <c r="M24" s="116"/>
      <c r="N24" s="116">
        <v>-1250000</v>
      </c>
      <c r="O24" s="116"/>
      <c r="P24" s="116"/>
      <c r="Q24" s="116"/>
      <c r="R24" s="116"/>
    </row>
    <row r="25" spans="1:18" s="45" customFormat="1" x14ac:dyDescent="0.25">
      <c r="A25" s="120" t="s">
        <v>591</v>
      </c>
      <c r="B25" s="120" t="s">
        <v>601</v>
      </c>
      <c r="C25" s="120" t="s">
        <v>604</v>
      </c>
      <c r="D25" s="120" t="s">
        <v>592</v>
      </c>
      <c r="E25" s="121" t="s">
        <v>73</v>
      </c>
      <c r="F25" s="121" t="s">
        <v>591</v>
      </c>
      <c r="G25" s="121"/>
      <c r="H25" s="121" t="s">
        <v>609</v>
      </c>
      <c r="I25" s="122">
        <v>-1015069</v>
      </c>
      <c r="J25" s="122"/>
      <c r="K25" s="122"/>
      <c r="L25" s="122"/>
      <c r="M25" s="122"/>
      <c r="N25" s="122"/>
      <c r="O25" s="122">
        <v>-1015069</v>
      </c>
      <c r="P25" s="122"/>
      <c r="Q25" s="122"/>
      <c r="R25" s="122"/>
    </row>
    <row r="26" spans="1:18" s="45" customFormat="1" ht="15.75" x14ac:dyDescent="0.25">
      <c r="A26" s="144" t="s">
        <v>611</v>
      </c>
      <c r="B26" s="144"/>
      <c r="C26" s="144"/>
      <c r="D26" s="144"/>
      <c r="E26" s="144"/>
      <c r="F26" s="144"/>
      <c r="G26" s="144"/>
      <c r="H26" s="40"/>
      <c r="I26" s="40"/>
      <c r="J26" s="40"/>
      <c r="K26" s="40"/>
      <c r="L26" s="40"/>
      <c r="M26" s="40"/>
      <c r="N26" s="39"/>
    </row>
    <row r="27" spans="1:18" s="45" customFormat="1" x14ac:dyDescent="0.25">
      <c r="A27" s="42"/>
      <c r="B27" s="27"/>
      <c r="C27" s="27"/>
      <c r="D27" s="27"/>
      <c r="E27" s="39"/>
      <c r="F27" s="39"/>
      <c r="G27" s="39"/>
      <c r="H27" s="39"/>
      <c r="I27" s="39"/>
      <c r="J27" s="27"/>
      <c r="K27" s="39"/>
      <c r="L27" s="39"/>
      <c r="M27" s="39"/>
      <c r="N27" s="39"/>
    </row>
    <row r="28" spans="1:18" s="56" customFormat="1" ht="30" x14ac:dyDescent="0.25">
      <c r="A28" s="52" t="s">
        <v>596</v>
      </c>
      <c r="B28" s="53" t="s">
        <v>597</v>
      </c>
      <c r="C28" s="53" t="s">
        <v>10</v>
      </c>
      <c r="D28" s="53" t="s">
        <v>67</v>
      </c>
      <c r="E28" s="54" t="s">
        <v>68</v>
      </c>
      <c r="F28" s="54" t="s">
        <v>69</v>
      </c>
      <c r="G28" s="54" t="s">
        <v>598</v>
      </c>
      <c r="H28" s="54" t="s">
        <v>599</v>
      </c>
      <c r="I28" s="54" t="s">
        <v>7</v>
      </c>
      <c r="J28" s="54" t="s">
        <v>71</v>
      </c>
      <c r="K28" s="54" t="s">
        <v>72</v>
      </c>
      <c r="L28" s="54" t="s">
        <v>0</v>
      </c>
      <c r="M28" s="54" t="s">
        <v>50</v>
      </c>
      <c r="N28" s="54" t="s">
        <v>1</v>
      </c>
      <c r="O28" s="53" t="s">
        <v>2</v>
      </c>
      <c r="P28" s="53" t="s">
        <v>51</v>
      </c>
      <c r="Q28" s="53" t="s">
        <v>52</v>
      </c>
      <c r="R28" s="55" t="s">
        <v>53</v>
      </c>
    </row>
    <row r="29" spans="1:18" s="45" customFormat="1" hidden="1" x14ac:dyDescent="0.25">
      <c r="A29" s="120"/>
      <c r="B29" s="120" t="s">
        <v>600</v>
      </c>
      <c r="C29" s="120"/>
      <c r="D29" s="120" t="s">
        <v>73</v>
      </c>
      <c r="E29" s="121"/>
      <c r="F29" s="121"/>
      <c r="G29" s="121" t="s">
        <v>834</v>
      </c>
      <c r="H29" s="121" t="s">
        <v>839</v>
      </c>
      <c r="I29" s="122">
        <v>0</v>
      </c>
      <c r="J29" s="122">
        <v>0</v>
      </c>
      <c r="K29" s="122">
        <v>0</v>
      </c>
      <c r="L29" s="122">
        <v>0</v>
      </c>
      <c r="M29" s="122">
        <v>0</v>
      </c>
      <c r="N29" s="122">
        <v>0</v>
      </c>
      <c r="O29" s="122">
        <v>0</v>
      </c>
      <c r="P29" s="122">
        <v>0</v>
      </c>
      <c r="Q29" s="122">
        <v>0</v>
      </c>
      <c r="R29" s="122">
        <v>0</v>
      </c>
    </row>
    <row r="30" spans="1:18" s="45" customFormat="1" hidden="1" x14ac:dyDescent="0.25">
      <c r="A30" s="114"/>
      <c r="B30" s="114" t="s">
        <v>840</v>
      </c>
      <c r="C30" s="114"/>
      <c r="D30" s="114" t="s">
        <v>73</v>
      </c>
      <c r="E30" s="115"/>
      <c r="F30" s="115"/>
      <c r="G30" s="115" t="s">
        <v>834</v>
      </c>
      <c r="H30" s="115" t="s">
        <v>839</v>
      </c>
      <c r="I30" s="116">
        <v>0</v>
      </c>
      <c r="J30" s="116">
        <v>0</v>
      </c>
      <c r="K30" s="116">
        <v>0</v>
      </c>
      <c r="L30" s="116">
        <v>0</v>
      </c>
      <c r="M30" s="116">
        <v>0</v>
      </c>
      <c r="N30" s="116">
        <v>0</v>
      </c>
      <c r="O30" s="116">
        <v>0</v>
      </c>
      <c r="P30" s="116">
        <v>0</v>
      </c>
      <c r="Q30" s="116">
        <v>0</v>
      </c>
      <c r="R30" s="116">
        <v>0</v>
      </c>
    </row>
    <row r="31" spans="1:18" s="45" customFormat="1" hidden="1" x14ac:dyDescent="0.25">
      <c r="A31" s="114"/>
      <c r="B31" s="114" t="s">
        <v>841</v>
      </c>
      <c r="C31" s="114"/>
      <c r="D31" s="114" t="s">
        <v>73</v>
      </c>
      <c r="E31" s="115"/>
      <c r="F31" s="115"/>
      <c r="G31" s="115" t="s">
        <v>834</v>
      </c>
      <c r="H31" s="115" t="s">
        <v>839</v>
      </c>
      <c r="I31" s="116">
        <v>0</v>
      </c>
      <c r="J31" s="116">
        <v>0</v>
      </c>
      <c r="K31" s="116">
        <v>0</v>
      </c>
      <c r="L31" s="116">
        <v>0</v>
      </c>
      <c r="M31" s="116">
        <v>0</v>
      </c>
      <c r="N31" s="116">
        <v>0</v>
      </c>
      <c r="O31" s="116">
        <v>0</v>
      </c>
      <c r="P31" s="116">
        <v>0</v>
      </c>
      <c r="Q31" s="116">
        <v>0</v>
      </c>
      <c r="R31" s="116">
        <v>0</v>
      </c>
    </row>
    <row r="32" spans="1:18" s="45" customFormat="1" hidden="1" x14ac:dyDescent="0.25">
      <c r="A32" s="114"/>
      <c r="B32" s="114" t="s">
        <v>601</v>
      </c>
      <c r="C32" s="114"/>
      <c r="D32" s="114" t="s">
        <v>73</v>
      </c>
      <c r="E32" s="115"/>
      <c r="F32" s="115"/>
      <c r="G32" s="115" t="s">
        <v>834</v>
      </c>
      <c r="H32" s="115" t="s">
        <v>839</v>
      </c>
      <c r="I32" s="116">
        <v>0</v>
      </c>
      <c r="J32" s="116">
        <v>0</v>
      </c>
      <c r="K32" s="116">
        <v>0</v>
      </c>
      <c r="L32" s="116">
        <v>0</v>
      </c>
      <c r="M32" s="116">
        <v>0</v>
      </c>
      <c r="N32" s="116">
        <v>0</v>
      </c>
      <c r="O32" s="116">
        <v>0</v>
      </c>
      <c r="P32" s="116">
        <v>0</v>
      </c>
      <c r="Q32" s="116">
        <v>0</v>
      </c>
      <c r="R32" s="116">
        <v>0</v>
      </c>
    </row>
    <row r="33" spans="1:18" s="45" customFormat="1" hidden="1" x14ac:dyDescent="0.25">
      <c r="A33" s="114"/>
      <c r="B33" s="114" t="s">
        <v>602</v>
      </c>
      <c r="C33" s="114"/>
      <c r="D33" s="114" t="s">
        <v>73</v>
      </c>
      <c r="E33" s="115"/>
      <c r="F33" s="115"/>
      <c r="G33" s="115" t="s">
        <v>834</v>
      </c>
      <c r="H33" s="115" t="s">
        <v>839</v>
      </c>
      <c r="I33" s="116">
        <v>0</v>
      </c>
      <c r="J33" s="116">
        <v>0</v>
      </c>
      <c r="K33" s="116">
        <v>0</v>
      </c>
      <c r="L33" s="116">
        <v>0</v>
      </c>
      <c r="M33" s="116">
        <v>0</v>
      </c>
      <c r="N33" s="116">
        <v>0</v>
      </c>
      <c r="O33" s="116">
        <v>0</v>
      </c>
      <c r="P33" s="116">
        <v>0</v>
      </c>
      <c r="Q33" s="116">
        <v>0</v>
      </c>
      <c r="R33" s="116">
        <v>0</v>
      </c>
    </row>
    <row r="34" spans="1:18" s="45" customFormat="1" hidden="1" x14ac:dyDescent="0.25">
      <c r="A34" s="114"/>
      <c r="B34" s="114" t="s">
        <v>842</v>
      </c>
      <c r="C34" s="114"/>
      <c r="D34" s="114" t="s">
        <v>73</v>
      </c>
      <c r="E34" s="115"/>
      <c r="F34" s="115"/>
      <c r="G34" s="115" t="s">
        <v>834</v>
      </c>
      <c r="H34" s="115" t="s">
        <v>839</v>
      </c>
      <c r="I34" s="116">
        <v>0</v>
      </c>
      <c r="J34" s="116">
        <v>0</v>
      </c>
      <c r="K34" s="116">
        <v>0</v>
      </c>
      <c r="L34" s="116">
        <v>0</v>
      </c>
      <c r="M34" s="116">
        <v>0</v>
      </c>
      <c r="N34" s="116">
        <v>0</v>
      </c>
      <c r="O34" s="116">
        <v>0</v>
      </c>
      <c r="P34" s="116">
        <v>0</v>
      </c>
      <c r="Q34" s="116">
        <v>0</v>
      </c>
      <c r="R34" s="116">
        <v>0</v>
      </c>
    </row>
    <row r="35" spans="1:18" s="45" customFormat="1" x14ac:dyDescent="0.25">
      <c r="A35" s="120" t="s">
        <v>603</v>
      </c>
      <c r="B35" s="120" t="s">
        <v>600</v>
      </c>
      <c r="C35" s="120" t="s">
        <v>845</v>
      </c>
      <c r="D35" s="120" t="s">
        <v>762</v>
      </c>
      <c r="E35" s="121" t="s">
        <v>73</v>
      </c>
      <c r="F35" s="121" t="s">
        <v>846</v>
      </c>
      <c r="G35" s="121"/>
      <c r="H35" s="121" t="s">
        <v>847</v>
      </c>
      <c r="I35" s="122">
        <v>451757.81</v>
      </c>
      <c r="J35" s="122"/>
      <c r="K35" s="122"/>
      <c r="L35" s="122"/>
      <c r="M35" s="122"/>
      <c r="N35" s="122">
        <v>451757.81</v>
      </c>
      <c r="O35" s="122"/>
      <c r="P35" s="122"/>
      <c r="Q35" s="122"/>
      <c r="R35" s="122"/>
    </row>
    <row r="36" spans="1:18" s="45" customFormat="1" x14ac:dyDescent="0.25">
      <c r="A36" s="114" t="s">
        <v>603</v>
      </c>
      <c r="B36" s="114" t="s">
        <v>600</v>
      </c>
      <c r="C36" s="114" t="s">
        <v>604</v>
      </c>
      <c r="D36" s="114" t="s">
        <v>73</v>
      </c>
      <c r="E36" s="115" t="s">
        <v>592</v>
      </c>
      <c r="F36" s="115"/>
      <c r="G36" s="115"/>
      <c r="H36" s="115" t="s">
        <v>605</v>
      </c>
      <c r="I36" s="116">
        <v>969391</v>
      </c>
      <c r="J36" s="116"/>
      <c r="K36" s="116"/>
      <c r="L36" s="116"/>
      <c r="M36" s="116"/>
      <c r="N36" s="116"/>
      <c r="O36" s="116">
        <v>969391</v>
      </c>
      <c r="P36" s="116"/>
      <c r="Q36" s="116"/>
      <c r="R36" s="116"/>
    </row>
    <row r="37" spans="1:18" s="45" customFormat="1" x14ac:dyDescent="0.25">
      <c r="A37" s="114" t="s">
        <v>603</v>
      </c>
      <c r="B37" s="114" t="s">
        <v>602</v>
      </c>
      <c r="C37" s="114" t="s">
        <v>606</v>
      </c>
      <c r="D37" s="114" t="s">
        <v>593</v>
      </c>
      <c r="E37" s="115" t="s">
        <v>73</v>
      </c>
      <c r="F37" s="115" t="s">
        <v>607</v>
      </c>
      <c r="G37" s="115"/>
      <c r="H37" s="115" t="s">
        <v>608</v>
      </c>
      <c r="I37" s="116">
        <v>540000</v>
      </c>
      <c r="J37" s="116"/>
      <c r="K37" s="116"/>
      <c r="L37" s="116"/>
      <c r="M37" s="116"/>
      <c r="N37" s="116"/>
      <c r="O37" s="116">
        <v>540000</v>
      </c>
      <c r="P37" s="116"/>
      <c r="Q37" s="116"/>
      <c r="R37" s="116"/>
    </row>
    <row r="38" spans="1:18" s="45" customFormat="1" x14ac:dyDescent="0.25">
      <c r="A38" s="114" t="s">
        <v>603</v>
      </c>
      <c r="B38" s="114" t="s">
        <v>602</v>
      </c>
      <c r="C38" s="114" t="s">
        <v>761</v>
      </c>
      <c r="D38" s="114" t="s">
        <v>762</v>
      </c>
      <c r="E38" s="115" t="s">
        <v>73</v>
      </c>
      <c r="F38" s="115" t="s">
        <v>603</v>
      </c>
      <c r="G38" s="115" t="s">
        <v>292</v>
      </c>
      <c r="H38" s="115" t="s">
        <v>763</v>
      </c>
      <c r="I38" s="116">
        <v>1722861</v>
      </c>
      <c r="J38" s="116"/>
      <c r="K38" s="116"/>
      <c r="L38" s="116">
        <v>1722861</v>
      </c>
      <c r="M38" s="116"/>
      <c r="N38" s="116"/>
      <c r="O38" s="116"/>
      <c r="P38" s="116"/>
      <c r="Q38" s="116"/>
      <c r="R38" s="116"/>
    </row>
    <row r="39" spans="1:18" s="45" customFormat="1" x14ac:dyDescent="0.25">
      <c r="A39" s="114" t="s">
        <v>603</v>
      </c>
      <c r="B39" s="114" t="s">
        <v>602</v>
      </c>
      <c r="C39" s="114" t="s">
        <v>764</v>
      </c>
      <c r="D39" s="114" t="s">
        <v>762</v>
      </c>
      <c r="E39" s="115" t="s">
        <v>73</v>
      </c>
      <c r="F39" s="115" t="s">
        <v>603</v>
      </c>
      <c r="G39" s="115" t="s">
        <v>405</v>
      </c>
      <c r="H39" s="115" t="s">
        <v>763</v>
      </c>
      <c r="I39" s="116">
        <v>647765</v>
      </c>
      <c r="J39" s="116"/>
      <c r="K39" s="116"/>
      <c r="L39" s="116">
        <v>647765</v>
      </c>
      <c r="M39" s="116"/>
      <c r="N39" s="116"/>
      <c r="O39" s="116"/>
      <c r="P39" s="116"/>
      <c r="Q39" s="116"/>
      <c r="R39" s="116"/>
    </row>
    <row r="40" spans="1:18" s="45" customFormat="1" x14ac:dyDescent="0.25">
      <c r="A40" s="114" t="s">
        <v>603</v>
      </c>
      <c r="B40" s="114" t="s">
        <v>602</v>
      </c>
      <c r="C40" s="114" t="s">
        <v>765</v>
      </c>
      <c r="D40" s="114" t="s">
        <v>762</v>
      </c>
      <c r="E40" s="115" t="s">
        <v>73</v>
      </c>
      <c r="F40" s="115" t="s">
        <v>603</v>
      </c>
      <c r="G40" s="115" t="s">
        <v>409</v>
      </c>
      <c r="H40" s="115" t="s">
        <v>763</v>
      </c>
      <c r="I40" s="116">
        <v>775618</v>
      </c>
      <c r="J40" s="116"/>
      <c r="K40" s="116"/>
      <c r="L40" s="116">
        <v>775618</v>
      </c>
      <c r="M40" s="116"/>
      <c r="N40" s="116"/>
      <c r="O40" s="116"/>
      <c r="P40" s="116"/>
      <c r="Q40" s="116"/>
      <c r="R40" s="116"/>
    </row>
    <row r="41" spans="1:18" s="45" customFormat="1" x14ac:dyDescent="0.25">
      <c r="A41" s="114" t="s">
        <v>603</v>
      </c>
      <c r="B41" s="114" t="s">
        <v>602</v>
      </c>
      <c r="C41" s="114" t="s">
        <v>766</v>
      </c>
      <c r="D41" s="114" t="s">
        <v>762</v>
      </c>
      <c r="E41" s="115" t="s">
        <v>73</v>
      </c>
      <c r="F41" s="115" t="s">
        <v>603</v>
      </c>
      <c r="G41" s="115" t="s">
        <v>470</v>
      </c>
      <c r="H41" s="115" t="s">
        <v>763</v>
      </c>
      <c r="I41" s="116">
        <v>203637</v>
      </c>
      <c r="J41" s="116"/>
      <c r="K41" s="116"/>
      <c r="L41" s="116">
        <v>203637</v>
      </c>
      <c r="M41" s="116"/>
      <c r="N41" s="116"/>
      <c r="O41" s="116"/>
      <c r="P41" s="116"/>
      <c r="Q41" s="116"/>
      <c r="R41" s="116"/>
    </row>
    <row r="42" spans="1:18" s="45" customFormat="1" x14ac:dyDescent="0.25">
      <c r="A42" s="114" t="s">
        <v>846</v>
      </c>
      <c r="B42" s="114" t="s">
        <v>601</v>
      </c>
      <c r="C42" s="114" t="s">
        <v>845</v>
      </c>
      <c r="D42" s="114" t="s">
        <v>73</v>
      </c>
      <c r="E42" s="115" t="s">
        <v>762</v>
      </c>
      <c r="F42" s="115" t="s">
        <v>846</v>
      </c>
      <c r="G42" s="115"/>
      <c r="H42" s="115" t="s">
        <v>848</v>
      </c>
      <c r="I42" s="116">
        <v>-451757.81</v>
      </c>
      <c r="J42" s="116"/>
      <c r="K42" s="116"/>
      <c r="L42" s="116"/>
      <c r="M42" s="116"/>
      <c r="N42" s="116">
        <v>-451757.81</v>
      </c>
      <c r="O42" s="116"/>
      <c r="P42" s="116"/>
      <c r="Q42" s="116"/>
      <c r="R42" s="116"/>
    </row>
    <row r="43" spans="1:18" s="45" customFormat="1" x14ac:dyDescent="0.25">
      <c r="A43" s="120" t="s">
        <v>591</v>
      </c>
      <c r="B43" s="120" t="s">
        <v>601</v>
      </c>
      <c r="C43" s="120" t="s">
        <v>604</v>
      </c>
      <c r="D43" s="120" t="s">
        <v>592</v>
      </c>
      <c r="E43" s="121" t="s">
        <v>73</v>
      </c>
      <c r="F43" s="121" t="s">
        <v>591</v>
      </c>
      <c r="G43" s="121"/>
      <c r="H43" s="121" t="s">
        <v>609</v>
      </c>
      <c r="I43" s="122">
        <v>-969391</v>
      </c>
      <c r="J43" s="122"/>
      <c r="K43" s="122"/>
      <c r="L43" s="122"/>
      <c r="M43" s="122"/>
      <c r="N43" s="122"/>
      <c r="O43" s="122">
        <v>-969391</v>
      </c>
      <c r="P43" s="122"/>
      <c r="Q43" s="122"/>
      <c r="R43" s="122"/>
    </row>
    <row r="44" spans="1:18" s="45" customFormat="1" x14ac:dyDescent="0.25">
      <c r="A44" s="94" t="s">
        <v>737</v>
      </c>
      <c r="B44" s="27"/>
      <c r="C44" s="27"/>
      <c r="D44" s="27"/>
      <c r="E44" s="27"/>
      <c r="F44" s="27"/>
      <c r="G44" s="27"/>
      <c r="H44" s="27"/>
      <c r="I44" s="27"/>
      <c r="J44" s="27"/>
      <c r="K44" s="27"/>
      <c r="L44" s="27"/>
      <c r="M44" s="27"/>
      <c r="N44" s="27"/>
    </row>
    <row r="45" spans="1:18" s="45" customFormat="1" x14ac:dyDescent="0.25">
      <c r="A45" s="95" t="s">
        <v>598</v>
      </c>
      <c r="B45" s="95" t="s">
        <v>738</v>
      </c>
      <c r="C45" s="95" t="s">
        <v>739</v>
      </c>
      <c r="D45" s="95" t="s">
        <v>740</v>
      </c>
      <c r="E45" s="101" t="s">
        <v>741</v>
      </c>
      <c r="F45" s="96" t="s">
        <v>599</v>
      </c>
      <c r="G45" s="27"/>
      <c r="H45" s="27"/>
      <c r="I45" s="27"/>
      <c r="J45" s="27"/>
      <c r="K45" s="27"/>
      <c r="L45" s="27"/>
      <c r="M45" s="27"/>
    </row>
    <row r="46" spans="1:18" s="45" customFormat="1" x14ac:dyDescent="0.25">
      <c r="A46" s="97" t="s">
        <v>742</v>
      </c>
      <c r="B46" s="97" t="s">
        <v>603</v>
      </c>
      <c r="C46" s="97" t="s">
        <v>743</v>
      </c>
      <c r="D46" s="97">
        <v>0</v>
      </c>
      <c r="E46" s="102">
        <v>432722</v>
      </c>
      <c r="F46" s="98" t="s">
        <v>744</v>
      </c>
      <c r="G46" s="27"/>
      <c r="H46" s="27"/>
      <c r="I46" s="27"/>
      <c r="J46" s="27"/>
      <c r="K46" s="27"/>
      <c r="L46" s="27"/>
      <c r="M46" s="27"/>
    </row>
    <row r="47" spans="1:18" s="45" customFormat="1" x14ac:dyDescent="0.25">
      <c r="A47" s="97" t="s">
        <v>745</v>
      </c>
      <c r="B47" s="97" t="s">
        <v>603</v>
      </c>
      <c r="C47" s="97" t="s">
        <v>743</v>
      </c>
      <c r="D47" s="97">
        <v>0</v>
      </c>
      <c r="E47" s="102">
        <v>112233.06</v>
      </c>
      <c r="F47" s="98" t="s">
        <v>744</v>
      </c>
      <c r="G47" s="27"/>
      <c r="H47" s="27"/>
      <c r="I47" s="27"/>
      <c r="J47" s="27"/>
      <c r="K47" s="27"/>
      <c r="L47" s="27"/>
      <c r="M47" s="27"/>
    </row>
    <row r="48" spans="1:18" s="45" customFormat="1" x14ac:dyDescent="0.25">
      <c r="A48" s="97" t="s">
        <v>746</v>
      </c>
      <c r="B48" s="97" t="s">
        <v>603</v>
      </c>
      <c r="C48" s="97" t="s">
        <v>743</v>
      </c>
      <c r="D48" s="97">
        <v>0</v>
      </c>
      <c r="E48" s="102">
        <v>187753</v>
      </c>
      <c r="F48" s="98" t="s">
        <v>744</v>
      </c>
      <c r="G48" s="27"/>
      <c r="H48" s="27"/>
      <c r="I48" s="27"/>
      <c r="J48" s="27"/>
      <c r="K48" s="27"/>
      <c r="L48" s="27"/>
      <c r="M48" s="27"/>
    </row>
    <row r="49" spans="1:13" s="45" customFormat="1" x14ac:dyDescent="0.25">
      <c r="A49" s="97" t="s">
        <v>747</v>
      </c>
      <c r="B49" s="97" t="s">
        <v>603</v>
      </c>
      <c r="C49" s="97" t="s">
        <v>743</v>
      </c>
      <c r="D49" s="97">
        <v>0</v>
      </c>
      <c r="E49" s="102">
        <v>67302</v>
      </c>
      <c r="F49" s="98" t="s">
        <v>744</v>
      </c>
      <c r="G49" s="27"/>
      <c r="H49" s="27"/>
      <c r="I49" s="27"/>
      <c r="J49" s="27"/>
      <c r="K49" s="27"/>
      <c r="L49" s="27"/>
      <c r="M49" s="27"/>
    </row>
    <row r="50" spans="1:13" s="45" customFormat="1" x14ac:dyDescent="0.25">
      <c r="A50" s="97" t="s">
        <v>748</v>
      </c>
      <c r="B50" s="97" t="s">
        <v>603</v>
      </c>
      <c r="C50" s="97" t="s">
        <v>743</v>
      </c>
      <c r="D50" s="97">
        <v>0</v>
      </c>
      <c r="E50" s="102">
        <v>212101</v>
      </c>
      <c r="F50" s="98" t="s">
        <v>744</v>
      </c>
      <c r="G50" s="27"/>
      <c r="H50" s="27"/>
      <c r="I50" s="27"/>
      <c r="J50" s="27"/>
      <c r="K50" s="27"/>
      <c r="L50" s="27"/>
      <c r="M50" s="27"/>
    </row>
    <row r="51" spans="1:13" s="45" customFormat="1" x14ac:dyDescent="0.25">
      <c r="A51" s="97" t="s">
        <v>749</v>
      </c>
      <c r="B51" s="97" t="s">
        <v>603</v>
      </c>
      <c r="C51" s="97" t="s">
        <v>743</v>
      </c>
      <c r="D51" s="97">
        <v>0</v>
      </c>
      <c r="E51" s="102">
        <v>138389</v>
      </c>
      <c r="F51" s="98" t="s">
        <v>744</v>
      </c>
      <c r="G51" s="27"/>
      <c r="H51" s="27"/>
      <c r="I51" s="27"/>
      <c r="J51" s="27"/>
      <c r="K51" s="27"/>
      <c r="L51" s="27"/>
      <c r="M51" s="27"/>
    </row>
    <row r="52" spans="1:13" s="45" customFormat="1" x14ac:dyDescent="0.25">
      <c r="A52" s="97" t="s">
        <v>750</v>
      </c>
      <c r="B52" s="97" t="s">
        <v>603</v>
      </c>
      <c r="C52" s="97" t="s">
        <v>743</v>
      </c>
      <c r="D52" s="97">
        <v>0</v>
      </c>
      <c r="E52" s="102">
        <v>124331.38</v>
      </c>
      <c r="F52" s="98" t="s">
        <v>744</v>
      </c>
      <c r="G52" s="27"/>
      <c r="H52" s="27"/>
      <c r="I52" s="27"/>
      <c r="J52" s="27"/>
      <c r="K52" s="27"/>
      <c r="L52" s="27"/>
      <c r="M52" s="27"/>
    </row>
    <row r="53" spans="1:13" s="45" customFormat="1" x14ac:dyDescent="0.25">
      <c r="A53" s="97" t="s">
        <v>751</v>
      </c>
      <c r="B53" s="97" t="s">
        <v>603</v>
      </c>
      <c r="C53" s="97" t="s">
        <v>743</v>
      </c>
      <c r="D53" s="97">
        <v>0</v>
      </c>
      <c r="E53" s="102">
        <v>196479</v>
      </c>
      <c r="F53" s="98" t="s">
        <v>744</v>
      </c>
      <c r="G53" s="27"/>
      <c r="H53" s="27"/>
      <c r="I53" s="27"/>
      <c r="J53" s="27"/>
      <c r="K53" s="27"/>
      <c r="L53" s="27"/>
      <c r="M53" s="27"/>
    </row>
    <row r="54" spans="1:13" s="45" customFormat="1" x14ac:dyDescent="0.25">
      <c r="A54" s="97" t="s">
        <v>752</v>
      </c>
      <c r="B54" s="97" t="s">
        <v>603</v>
      </c>
      <c r="C54" s="97" t="s">
        <v>743</v>
      </c>
      <c r="D54" s="97">
        <v>0</v>
      </c>
      <c r="E54" s="102">
        <v>72962</v>
      </c>
      <c r="F54" s="98" t="s">
        <v>744</v>
      </c>
      <c r="G54" s="27"/>
      <c r="H54" s="27"/>
      <c r="I54" s="27"/>
      <c r="J54" s="27"/>
      <c r="K54" s="27"/>
      <c r="L54" s="27"/>
      <c r="M54" s="27"/>
    </row>
    <row r="55" spans="1:13" s="45" customFormat="1" x14ac:dyDescent="0.25">
      <c r="A55" s="97" t="s">
        <v>753</v>
      </c>
      <c r="B55" s="97" t="s">
        <v>603</v>
      </c>
      <c r="C55" s="97" t="s">
        <v>743</v>
      </c>
      <c r="D55" s="97">
        <v>0</v>
      </c>
      <c r="E55" s="102">
        <v>519658</v>
      </c>
      <c r="F55" s="98" t="s">
        <v>744</v>
      </c>
      <c r="G55" s="27"/>
      <c r="H55" s="27"/>
      <c r="I55" s="27"/>
      <c r="J55" s="27"/>
      <c r="K55" s="27"/>
      <c r="L55" s="27"/>
      <c r="M55" s="27"/>
    </row>
    <row r="56" spans="1:13" s="45" customFormat="1" x14ac:dyDescent="0.25">
      <c r="A56" s="97" t="s">
        <v>754</v>
      </c>
      <c r="B56" s="97" t="s">
        <v>603</v>
      </c>
      <c r="C56" s="97" t="s">
        <v>743</v>
      </c>
      <c r="D56" s="97">
        <v>0</v>
      </c>
      <c r="E56" s="102">
        <v>424069</v>
      </c>
      <c r="F56" s="98" t="s">
        <v>744</v>
      </c>
      <c r="G56" s="27"/>
      <c r="H56" s="27"/>
      <c r="I56" s="27"/>
      <c r="J56" s="27"/>
      <c r="K56" s="27"/>
      <c r="L56" s="27"/>
      <c r="M56" s="27"/>
    </row>
    <row r="57" spans="1:13" s="45" customFormat="1" x14ac:dyDescent="0.25">
      <c r="A57" s="97" t="s">
        <v>742</v>
      </c>
      <c r="B57" s="97" t="s">
        <v>603</v>
      </c>
      <c r="C57" s="97" t="s">
        <v>743</v>
      </c>
      <c r="D57" s="97">
        <v>0</v>
      </c>
      <c r="E57" s="102">
        <v>5159536</v>
      </c>
      <c r="F57" s="98" t="s">
        <v>755</v>
      </c>
      <c r="G57" s="27"/>
      <c r="H57" s="27"/>
      <c r="I57" s="27"/>
      <c r="J57" s="27"/>
      <c r="K57" s="27"/>
      <c r="L57" s="27"/>
      <c r="M57" s="27"/>
    </row>
    <row r="58" spans="1:13" s="45" customFormat="1" x14ac:dyDescent="0.25">
      <c r="A58" s="97" t="s">
        <v>745</v>
      </c>
      <c r="B58" s="97" t="s">
        <v>603</v>
      </c>
      <c r="C58" s="97" t="s">
        <v>743</v>
      </c>
      <c r="D58" s="97">
        <v>0</v>
      </c>
      <c r="E58" s="102">
        <v>1601688</v>
      </c>
      <c r="F58" s="98" t="s">
        <v>755</v>
      </c>
      <c r="G58" s="27"/>
      <c r="H58" s="27"/>
      <c r="I58" s="27"/>
      <c r="J58" s="27"/>
      <c r="K58" s="27"/>
      <c r="L58" s="27"/>
      <c r="M58" s="27"/>
    </row>
    <row r="59" spans="1:13" s="45" customFormat="1" x14ac:dyDescent="0.25">
      <c r="A59" s="97" t="s">
        <v>746</v>
      </c>
      <c r="B59" s="97" t="s">
        <v>603</v>
      </c>
      <c r="C59" s="97" t="s">
        <v>743</v>
      </c>
      <c r="D59" s="97">
        <v>0</v>
      </c>
      <c r="E59" s="102">
        <v>2683488</v>
      </c>
      <c r="F59" s="98" t="s">
        <v>755</v>
      </c>
      <c r="G59" s="27"/>
      <c r="H59" s="27"/>
      <c r="I59" s="27"/>
      <c r="J59" s="27"/>
      <c r="K59" s="27"/>
      <c r="L59" s="27"/>
      <c r="M59" s="27"/>
    </row>
    <row r="60" spans="1:13" s="45" customFormat="1" x14ac:dyDescent="0.25">
      <c r="A60" s="97" t="s">
        <v>747</v>
      </c>
      <c r="B60" s="97" t="s">
        <v>603</v>
      </c>
      <c r="C60" s="97" t="s">
        <v>743</v>
      </c>
      <c r="D60" s="97">
        <v>0</v>
      </c>
      <c r="E60" s="102">
        <v>994219</v>
      </c>
      <c r="F60" s="98" t="s">
        <v>755</v>
      </c>
      <c r="G60" s="27"/>
      <c r="H60" s="27"/>
      <c r="I60" s="27"/>
      <c r="J60" s="27"/>
      <c r="K60" s="27"/>
      <c r="L60" s="27"/>
      <c r="M60" s="27"/>
    </row>
    <row r="61" spans="1:13" s="45" customFormat="1" x14ac:dyDescent="0.25">
      <c r="A61" s="97" t="s">
        <v>748</v>
      </c>
      <c r="B61" s="97" t="s">
        <v>603</v>
      </c>
      <c r="C61" s="97" t="s">
        <v>743</v>
      </c>
      <c r="D61" s="97">
        <v>0</v>
      </c>
      <c r="E61" s="102">
        <v>3026613</v>
      </c>
      <c r="F61" s="98" t="s">
        <v>755</v>
      </c>
      <c r="G61" s="27"/>
      <c r="H61" s="27"/>
      <c r="I61" s="27"/>
      <c r="J61" s="27"/>
      <c r="K61" s="27"/>
      <c r="L61" s="27"/>
      <c r="M61" s="27"/>
    </row>
    <row r="62" spans="1:13" s="45" customFormat="1" x14ac:dyDescent="0.25">
      <c r="A62" s="97" t="s">
        <v>749</v>
      </c>
      <c r="B62" s="97" t="s">
        <v>603</v>
      </c>
      <c r="C62" s="97" t="s">
        <v>743</v>
      </c>
      <c r="D62" s="97">
        <v>0</v>
      </c>
      <c r="E62" s="102">
        <v>1981603</v>
      </c>
      <c r="F62" s="98" t="s">
        <v>755</v>
      </c>
      <c r="G62" s="27"/>
      <c r="H62" s="27"/>
      <c r="I62" s="27"/>
      <c r="J62" s="27"/>
      <c r="K62" s="27"/>
      <c r="L62" s="27"/>
      <c r="M62" s="27"/>
    </row>
    <row r="63" spans="1:13" s="45" customFormat="1" x14ac:dyDescent="0.25">
      <c r="A63" s="97" t="s">
        <v>750</v>
      </c>
      <c r="B63" s="97" t="s">
        <v>603</v>
      </c>
      <c r="C63" s="97" t="s">
        <v>743</v>
      </c>
      <c r="D63" s="97">
        <v>0</v>
      </c>
      <c r="E63" s="102">
        <v>1768150</v>
      </c>
      <c r="F63" s="98" t="s">
        <v>755</v>
      </c>
      <c r="G63" s="27"/>
      <c r="H63" s="27"/>
      <c r="I63" s="27"/>
      <c r="J63" s="27"/>
      <c r="K63" s="27"/>
      <c r="L63" s="27"/>
      <c r="M63" s="27"/>
    </row>
    <row r="64" spans="1:13" s="45" customFormat="1" x14ac:dyDescent="0.25">
      <c r="A64" s="97" t="s">
        <v>751</v>
      </c>
      <c r="B64" s="97" t="s">
        <v>603</v>
      </c>
      <c r="C64" s="97" t="s">
        <v>743</v>
      </c>
      <c r="D64" s="97">
        <v>0</v>
      </c>
      <c r="E64" s="102">
        <v>2786594</v>
      </c>
      <c r="F64" s="98" t="s">
        <v>755</v>
      </c>
      <c r="G64" s="27"/>
      <c r="H64" s="27"/>
      <c r="I64" s="27"/>
      <c r="J64" s="27"/>
      <c r="K64" s="27"/>
      <c r="L64" s="27"/>
      <c r="M64" s="27"/>
    </row>
    <row r="65" spans="1:14" s="45" customFormat="1" x14ac:dyDescent="0.25">
      <c r="A65" s="97" t="s">
        <v>752</v>
      </c>
      <c r="B65" s="97" t="s">
        <v>603</v>
      </c>
      <c r="C65" s="97" t="s">
        <v>743</v>
      </c>
      <c r="D65" s="97">
        <v>0</v>
      </c>
      <c r="E65" s="102">
        <v>1029259</v>
      </c>
      <c r="F65" s="98" t="s">
        <v>755</v>
      </c>
      <c r="G65" s="27"/>
      <c r="H65" s="27"/>
      <c r="I65" s="27"/>
      <c r="J65" s="27"/>
      <c r="K65" s="27"/>
      <c r="L65" s="27"/>
      <c r="M65" s="27"/>
    </row>
    <row r="66" spans="1:14" s="45" customFormat="1" x14ac:dyDescent="0.25">
      <c r="A66" s="97" t="s">
        <v>753</v>
      </c>
      <c r="B66" s="97" t="s">
        <v>603</v>
      </c>
      <c r="C66" s="97" t="s">
        <v>743</v>
      </c>
      <c r="D66" s="97">
        <v>0</v>
      </c>
      <c r="E66" s="102">
        <v>5652225</v>
      </c>
      <c r="F66" s="98" t="s">
        <v>755</v>
      </c>
      <c r="G66" s="27"/>
      <c r="H66" s="27"/>
      <c r="I66" s="27"/>
      <c r="J66" s="27"/>
      <c r="K66" s="27"/>
      <c r="L66" s="27"/>
      <c r="M66" s="27"/>
    </row>
    <row r="67" spans="1:14" s="45" customFormat="1" x14ac:dyDescent="0.25">
      <c r="A67" s="99" t="s">
        <v>754</v>
      </c>
      <c r="B67" s="99" t="s">
        <v>603</v>
      </c>
      <c r="C67" s="99" t="s">
        <v>743</v>
      </c>
      <c r="D67" s="99">
        <v>0</v>
      </c>
      <c r="E67" s="103">
        <v>4643775</v>
      </c>
      <c r="F67" s="100" t="s">
        <v>755</v>
      </c>
      <c r="G67" s="27"/>
      <c r="H67" s="27"/>
      <c r="I67" s="27"/>
      <c r="J67" s="27"/>
      <c r="K67" s="27"/>
      <c r="L67" s="27"/>
      <c r="M67" s="27"/>
    </row>
    <row r="68" spans="1:14" s="45" customFormat="1" x14ac:dyDescent="0.25">
      <c r="A68" s="111"/>
      <c r="B68" s="111"/>
      <c r="C68" s="111"/>
      <c r="D68" s="111" t="s">
        <v>756</v>
      </c>
      <c r="E68" s="112">
        <f>SUM(Table_MAG_GANS_DEBT_SERVICE[OAAmount])</f>
        <v>33815149.439999998</v>
      </c>
      <c r="F68" s="113"/>
      <c r="G68" s="27"/>
      <c r="H68" s="27"/>
      <c r="I68" s="27"/>
      <c r="J68" s="27"/>
      <c r="K68" s="27"/>
      <c r="L68" s="27"/>
      <c r="M68" s="27"/>
      <c r="N68" s="27"/>
    </row>
    <row r="69" spans="1:14" s="45" customFormat="1" x14ac:dyDescent="0.25">
      <c r="A69" s="27"/>
      <c r="B69" s="27"/>
      <c r="C69" s="27"/>
      <c r="D69" s="27"/>
      <c r="E69" s="27"/>
      <c r="F69" s="27"/>
      <c r="G69" s="27"/>
      <c r="H69" s="27"/>
      <c r="I69" s="27"/>
      <c r="J69" s="27"/>
      <c r="K69" s="27"/>
      <c r="L69" s="27"/>
      <c r="M69" s="27"/>
      <c r="N69" s="27"/>
    </row>
    <row r="70" spans="1:14" s="45" customFormat="1" x14ac:dyDescent="0.25">
      <c r="A70" s="27"/>
      <c r="B70" s="27"/>
      <c r="C70" s="27"/>
      <c r="D70" s="27"/>
      <c r="E70" s="27"/>
      <c r="F70" s="27"/>
      <c r="G70" s="27"/>
      <c r="H70" s="27"/>
      <c r="I70" s="27"/>
      <c r="J70" s="27"/>
      <c r="K70" s="27"/>
      <c r="L70" s="27"/>
      <c r="M70" s="27"/>
      <c r="N70" s="27"/>
    </row>
    <row r="71" spans="1:14" s="45" customFormat="1" x14ac:dyDescent="0.25">
      <c r="A71" s="27"/>
      <c r="B71" s="27"/>
      <c r="C71" s="27"/>
      <c r="D71" s="27"/>
      <c r="E71" s="27"/>
      <c r="F71" s="27"/>
      <c r="G71" s="27"/>
      <c r="H71" s="27"/>
      <c r="I71" s="27"/>
      <c r="J71" s="27"/>
      <c r="K71" s="27"/>
      <c r="L71" s="27"/>
      <c r="M71" s="27"/>
      <c r="N71" s="27"/>
    </row>
    <row r="72" spans="1:14" s="45" customFormat="1" x14ac:dyDescent="0.25">
      <c r="A72" s="27"/>
      <c r="B72" s="27"/>
      <c r="C72" s="27"/>
      <c r="D72" s="27"/>
      <c r="E72" s="27"/>
      <c r="F72" s="27"/>
      <c r="G72" s="27"/>
      <c r="H72" s="27"/>
      <c r="I72" s="27"/>
      <c r="J72" s="27"/>
      <c r="K72" s="27"/>
      <c r="L72" s="27"/>
      <c r="M72" s="27"/>
      <c r="N72" s="27"/>
    </row>
    <row r="73" spans="1:14" s="45" customFormat="1" x14ac:dyDescent="0.25">
      <c r="A73" s="27"/>
      <c r="B73" s="27"/>
      <c r="C73" s="27"/>
      <c r="D73" s="27"/>
      <c r="E73" s="27"/>
      <c r="F73" s="27"/>
      <c r="G73" s="27"/>
      <c r="H73" s="27"/>
      <c r="I73" s="27"/>
      <c r="J73" s="27"/>
      <c r="K73" s="27"/>
      <c r="L73" s="27"/>
      <c r="M73" s="27"/>
      <c r="N73" s="27"/>
    </row>
    <row r="74" spans="1:14" s="45" customFormat="1" x14ac:dyDescent="0.25">
      <c r="A74" s="27"/>
      <c r="B74" s="27"/>
      <c r="C74" s="27"/>
      <c r="D74" s="27"/>
      <c r="E74" s="27"/>
      <c r="F74" s="27"/>
      <c r="G74" s="27"/>
      <c r="H74" s="27"/>
      <c r="I74" s="27"/>
      <c r="J74" s="27"/>
      <c r="K74" s="27"/>
      <c r="L74" s="27"/>
      <c r="M74" s="27"/>
      <c r="N74" s="27"/>
    </row>
    <row r="75" spans="1:14" s="45" customFormat="1" x14ac:dyDescent="0.25">
      <c r="A75" s="27"/>
      <c r="B75" s="27"/>
      <c r="C75" s="27"/>
      <c r="D75" s="27"/>
      <c r="E75" s="27"/>
      <c r="F75" s="27"/>
      <c r="G75" s="27"/>
      <c r="H75" s="27"/>
      <c r="I75" s="27"/>
      <c r="J75" s="27"/>
      <c r="K75" s="27"/>
      <c r="L75" s="27"/>
      <c r="M75" s="27"/>
      <c r="N75" s="27"/>
    </row>
    <row r="76" spans="1:14" s="45" customFormat="1" x14ac:dyDescent="0.25">
      <c r="A76" s="27"/>
      <c r="B76" s="27"/>
      <c r="C76" s="27"/>
      <c r="D76" s="27"/>
      <c r="E76" s="27"/>
      <c r="F76" s="27"/>
      <c r="G76" s="27"/>
      <c r="H76" s="27"/>
      <c r="I76" s="27"/>
      <c r="J76" s="27"/>
      <c r="K76" s="27"/>
      <c r="L76" s="27"/>
      <c r="M76" s="27"/>
      <c r="N76" s="27"/>
    </row>
    <row r="77" spans="1:14" s="45" customFormat="1" x14ac:dyDescent="0.25">
      <c r="A77" s="27"/>
      <c r="B77" s="27"/>
      <c r="C77" s="27"/>
      <c r="D77" s="27"/>
      <c r="E77" s="27"/>
      <c r="F77" s="27"/>
      <c r="G77" s="27"/>
      <c r="H77" s="27"/>
      <c r="I77" s="27"/>
      <c r="J77" s="27"/>
      <c r="K77" s="27"/>
      <c r="L77" s="27"/>
      <c r="M77" s="27"/>
      <c r="N77" s="27"/>
    </row>
    <row r="78" spans="1:14" s="45" customFormat="1" x14ac:dyDescent="0.25">
      <c r="A78" s="27"/>
      <c r="B78" s="27"/>
      <c r="C78" s="27"/>
      <c r="D78" s="27"/>
      <c r="E78" s="27"/>
      <c r="F78" s="27"/>
      <c r="G78" s="27"/>
      <c r="H78" s="27"/>
      <c r="I78" s="27"/>
      <c r="J78" s="27"/>
      <c r="K78" s="27"/>
      <c r="L78" s="27"/>
      <c r="M78" s="27"/>
      <c r="N78" s="27"/>
    </row>
    <row r="79" spans="1:14" s="45" customFormat="1" x14ac:dyDescent="0.25">
      <c r="A79" s="27"/>
      <c r="B79" s="27"/>
      <c r="C79" s="27"/>
      <c r="D79" s="27"/>
      <c r="E79" s="27"/>
      <c r="F79" s="27"/>
      <c r="G79" s="27"/>
      <c r="H79" s="27"/>
      <c r="I79" s="27"/>
      <c r="J79" s="27"/>
      <c r="K79" s="27"/>
      <c r="L79" s="27"/>
      <c r="M79" s="27"/>
      <c r="N79" s="27"/>
    </row>
    <row r="80" spans="1:14" s="45" customFormat="1" x14ac:dyDescent="0.25">
      <c r="A80" s="27"/>
      <c r="B80" s="27"/>
      <c r="C80" s="27"/>
      <c r="D80" s="27"/>
      <c r="E80" s="27"/>
      <c r="F80" s="27"/>
      <c r="G80" s="27"/>
      <c r="H80" s="27"/>
      <c r="I80" s="27"/>
      <c r="J80" s="27"/>
      <c r="K80" s="27"/>
      <c r="L80" s="27"/>
      <c r="M80" s="27"/>
      <c r="N80" s="27"/>
    </row>
    <row r="81" spans="1:14" s="45" customFormat="1" x14ac:dyDescent="0.25">
      <c r="A81" s="27"/>
      <c r="B81" s="27"/>
      <c r="C81" s="27"/>
      <c r="D81" s="27"/>
      <c r="E81" s="27"/>
      <c r="F81" s="27"/>
      <c r="G81" s="27"/>
      <c r="H81" s="27"/>
      <c r="I81" s="27"/>
      <c r="J81" s="27"/>
      <c r="K81" s="27"/>
      <c r="L81" s="27"/>
      <c r="M81" s="27"/>
      <c r="N81" s="27"/>
    </row>
    <row r="82" spans="1:14" s="45" customFormat="1" x14ac:dyDescent="0.25">
      <c r="A82" s="27"/>
      <c r="B82" s="27"/>
      <c r="C82" s="27"/>
      <c r="D82" s="27"/>
      <c r="E82" s="27"/>
      <c r="F82" s="27"/>
      <c r="G82" s="27"/>
      <c r="H82" s="27"/>
      <c r="I82" s="27"/>
      <c r="J82" s="27"/>
      <c r="K82" s="27"/>
      <c r="L82" s="27"/>
      <c r="M82" s="27"/>
      <c r="N82" s="27"/>
    </row>
    <row r="83" spans="1:14" s="45" customFormat="1" x14ac:dyDescent="0.25">
      <c r="A83" s="27"/>
      <c r="B83" s="27"/>
      <c r="C83" s="27"/>
      <c r="D83" s="27"/>
      <c r="E83" s="27"/>
      <c r="F83" s="27"/>
      <c r="G83" s="27"/>
      <c r="H83" s="27"/>
      <c r="I83" s="27"/>
      <c r="J83" s="27"/>
      <c r="K83" s="27"/>
      <c r="L83" s="27"/>
      <c r="M83" s="27"/>
      <c r="N83" s="27"/>
    </row>
    <row r="84" spans="1:14" s="45" customFormat="1" x14ac:dyDescent="0.25">
      <c r="A84" s="27"/>
      <c r="B84" s="27"/>
      <c r="C84" s="27"/>
      <c r="D84" s="27"/>
      <c r="E84" s="27"/>
      <c r="F84" s="27"/>
      <c r="G84" s="27"/>
      <c r="H84" s="27"/>
      <c r="I84" s="27"/>
      <c r="J84" s="27"/>
      <c r="K84" s="27"/>
      <c r="L84" s="27"/>
      <c r="M84" s="27"/>
      <c r="N84" s="27"/>
    </row>
    <row r="85" spans="1:14" s="45" customFormat="1" x14ac:dyDescent="0.25">
      <c r="A85" s="27"/>
      <c r="B85" s="27"/>
      <c r="C85" s="27"/>
      <c r="D85" s="27"/>
      <c r="E85" s="27"/>
      <c r="F85" s="27"/>
      <c r="G85" s="27"/>
      <c r="H85" s="27"/>
      <c r="I85" s="27"/>
      <c r="J85" s="27"/>
      <c r="K85" s="27"/>
      <c r="L85" s="27"/>
      <c r="M85" s="27"/>
      <c r="N85" s="27"/>
    </row>
    <row r="86" spans="1:14" s="45" customFormat="1" x14ac:dyDescent="0.25">
      <c r="A86" s="27"/>
      <c r="B86" s="27"/>
      <c r="C86" s="27"/>
      <c r="D86" s="27"/>
      <c r="E86" s="27"/>
      <c r="F86" s="27"/>
      <c r="G86" s="27"/>
      <c r="H86" s="27"/>
      <c r="I86" s="27"/>
      <c r="J86" s="27"/>
      <c r="K86" s="27"/>
      <c r="L86" s="27"/>
      <c r="M86" s="27"/>
      <c r="N86" s="27"/>
    </row>
    <row r="87" spans="1:14" s="45" customFormat="1" x14ac:dyDescent="0.25">
      <c r="A87" s="27"/>
      <c r="B87" s="27"/>
      <c r="C87" s="27"/>
      <c r="D87" s="27"/>
      <c r="E87" s="27"/>
      <c r="F87" s="27"/>
      <c r="G87" s="27"/>
      <c r="H87" s="27"/>
      <c r="I87" s="27"/>
      <c r="J87" s="27"/>
      <c r="K87" s="27"/>
      <c r="L87" s="27"/>
      <c r="M87" s="27"/>
      <c r="N87" s="27"/>
    </row>
    <row r="88" spans="1:14" s="45" customFormat="1" x14ac:dyDescent="0.25">
      <c r="A88" s="27"/>
      <c r="B88" s="27"/>
      <c r="C88" s="27"/>
      <c r="D88" s="27"/>
      <c r="E88" s="27"/>
      <c r="F88" s="27"/>
      <c r="G88" s="27"/>
      <c r="H88" s="27"/>
      <c r="I88" s="27"/>
      <c r="J88" s="27"/>
      <c r="K88" s="27"/>
      <c r="L88" s="27"/>
      <c r="M88" s="27"/>
      <c r="N88" s="27"/>
    </row>
    <row r="89" spans="1:14" s="45" customFormat="1" x14ac:dyDescent="0.25">
      <c r="A89" s="27"/>
      <c r="B89" s="27"/>
      <c r="C89" s="27"/>
      <c r="D89" s="27"/>
      <c r="E89" s="27"/>
      <c r="F89" s="27"/>
      <c r="G89" s="27"/>
      <c r="H89" s="27"/>
      <c r="I89" s="27"/>
      <c r="J89" s="27"/>
      <c r="K89" s="27"/>
      <c r="L89" s="27"/>
      <c r="M89" s="27"/>
      <c r="N89" s="27"/>
    </row>
    <row r="90" spans="1:14" s="45" customFormat="1" x14ac:dyDescent="0.25">
      <c r="A90" s="27"/>
      <c r="B90" s="27"/>
      <c r="C90" s="27"/>
      <c r="D90" s="27"/>
      <c r="E90" s="27"/>
      <c r="F90" s="27"/>
      <c r="G90" s="27"/>
      <c r="H90" s="27"/>
      <c r="I90" s="27"/>
      <c r="J90" s="27"/>
      <c r="K90" s="27"/>
      <c r="L90" s="27"/>
      <c r="M90" s="27"/>
      <c r="N90" s="27"/>
    </row>
    <row r="91" spans="1:14" s="45" customFormat="1" x14ac:dyDescent="0.25">
      <c r="A91" s="27"/>
      <c r="B91" s="27"/>
      <c r="C91" s="27"/>
      <c r="D91" s="27"/>
      <c r="E91" s="27"/>
      <c r="F91" s="27"/>
      <c r="G91" s="27"/>
      <c r="H91" s="27"/>
      <c r="I91" s="27"/>
      <c r="J91" s="27"/>
      <c r="K91" s="27"/>
      <c r="L91" s="27"/>
      <c r="M91" s="27"/>
      <c r="N91" s="27"/>
    </row>
    <row r="92" spans="1:14" s="45" customFormat="1" x14ac:dyDescent="0.25">
      <c r="A92" s="27"/>
      <c r="B92" s="27"/>
      <c r="C92" s="27"/>
      <c r="D92" s="27"/>
      <c r="E92" s="27"/>
      <c r="F92" s="27"/>
      <c r="G92" s="27"/>
      <c r="H92" s="27"/>
      <c r="I92" s="27"/>
      <c r="J92" s="27"/>
      <c r="K92" s="27"/>
      <c r="L92" s="27"/>
      <c r="M92" s="27"/>
      <c r="N92" s="27"/>
    </row>
    <row r="93" spans="1:14" s="45" customFormat="1" x14ac:dyDescent="0.25">
      <c r="A93" s="27"/>
      <c r="B93" s="27"/>
      <c r="C93" s="27"/>
      <c r="D93" s="27"/>
      <c r="E93" s="27"/>
      <c r="F93" s="27"/>
      <c r="G93" s="27"/>
      <c r="H93" s="27"/>
      <c r="I93" s="27"/>
      <c r="J93" s="27"/>
      <c r="K93" s="27"/>
      <c r="L93" s="27"/>
      <c r="M93" s="27"/>
      <c r="N93" s="27"/>
    </row>
    <row r="94" spans="1:14" s="45" customFormat="1" x14ac:dyDescent="0.25">
      <c r="A94" s="27"/>
      <c r="B94" s="27"/>
      <c r="C94" s="27"/>
      <c r="D94" s="27"/>
      <c r="E94" s="27"/>
      <c r="F94" s="27"/>
      <c r="G94" s="27"/>
      <c r="H94" s="27"/>
      <c r="I94" s="27"/>
      <c r="J94" s="27"/>
      <c r="K94" s="27"/>
      <c r="L94" s="27"/>
      <c r="M94" s="27"/>
      <c r="N94" s="27"/>
    </row>
    <row r="95" spans="1:14" s="45" customFormat="1" x14ac:dyDescent="0.25">
      <c r="A95" s="27"/>
      <c r="B95" s="27"/>
      <c r="C95" s="27"/>
      <c r="D95" s="27"/>
      <c r="E95" s="27"/>
      <c r="F95" s="27"/>
      <c r="G95" s="27"/>
      <c r="H95" s="27"/>
      <c r="I95" s="27"/>
      <c r="J95" s="27"/>
      <c r="K95" s="27"/>
      <c r="L95" s="27"/>
      <c r="M95" s="27"/>
      <c r="N95" s="27"/>
    </row>
    <row r="96" spans="1:14" s="45" customFormat="1" x14ac:dyDescent="0.25">
      <c r="A96" s="27"/>
      <c r="B96" s="27"/>
      <c r="C96" s="27"/>
      <c r="D96" s="27"/>
      <c r="E96" s="27"/>
      <c r="F96" s="27"/>
      <c r="G96" s="27"/>
      <c r="H96" s="27"/>
      <c r="I96" s="27"/>
      <c r="J96" s="27"/>
      <c r="K96" s="27"/>
      <c r="L96" s="27"/>
      <c r="M96" s="27"/>
      <c r="N96" s="27"/>
    </row>
    <row r="97" spans="1:14" s="45" customFormat="1" x14ac:dyDescent="0.25">
      <c r="A97" s="27"/>
      <c r="B97" s="27"/>
      <c r="C97" s="27"/>
      <c r="D97" s="27"/>
      <c r="E97" s="27"/>
      <c r="F97" s="27"/>
      <c r="G97" s="27"/>
      <c r="H97" s="27"/>
      <c r="I97" s="27"/>
      <c r="J97" s="27"/>
      <c r="K97" s="27"/>
      <c r="L97" s="27"/>
      <c r="M97" s="27"/>
      <c r="N97" s="27"/>
    </row>
    <row r="98" spans="1:14" s="45" customFormat="1" x14ac:dyDescent="0.25">
      <c r="A98" s="27"/>
      <c r="B98" s="27"/>
      <c r="C98" s="27"/>
      <c r="D98" s="27"/>
      <c r="E98" s="27"/>
      <c r="F98" s="27"/>
      <c r="G98" s="27"/>
      <c r="H98" s="27"/>
      <c r="I98" s="27"/>
      <c r="J98" s="27"/>
      <c r="K98" s="27"/>
      <c r="L98" s="27"/>
      <c r="M98" s="27"/>
      <c r="N98" s="27"/>
    </row>
    <row r="99" spans="1:14" s="45" customFormat="1" x14ac:dyDescent="0.25">
      <c r="A99" s="27"/>
      <c r="B99" s="27"/>
      <c r="C99" s="27"/>
      <c r="D99" s="27"/>
      <c r="E99" s="27"/>
      <c r="F99" s="27"/>
      <c r="G99" s="27"/>
      <c r="H99" s="27"/>
      <c r="I99" s="27"/>
      <c r="J99" s="27"/>
      <c r="K99" s="27"/>
      <c r="L99" s="27"/>
      <c r="M99" s="27"/>
      <c r="N99" s="27"/>
    </row>
    <row r="100" spans="1:14" s="45" customFormat="1" x14ac:dyDescent="0.25">
      <c r="A100" s="27"/>
      <c r="B100" s="27"/>
      <c r="C100" s="27"/>
      <c r="D100" s="27"/>
      <c r="E100" s="27"/>
      <c r="F100" s="27"/>
      <c r="G100" s="27"/>
      <c r="H100" s="27"/>
      <c r="I100" s="27"/>
      <c r="J100" s="27"/>
      <c r="K100" s="27"/>
      <c r="L100" s="27"/>
      <c r="M100" s="27"/>
      <c r="N100" s="27"/>
    </row>
    <row r="101" spans="1:14" s="45" customFormat="1" x14ac:dyDescent="0.25">
      <c r="A101" s="27"/>
      <c r="B101" s="27"/>
      <c r="C101" s="27"/>
      <c r="D101" s="27"/>
      <c r="E101" s="27"/>
      <c r="F101" s="27"/>
      <c r="G101" s="27"/>
      <c r="H101" s="27"/>
      <c r="I101" s="27"/>
      <c r="J101" s="27"/>
      <c r="K101" s="27"/>
      <c r="L101" s="27"/>
      <c r="M101" s="27"/>
      <c r="N101" s="27"/>
    </row>
    <row r="102" spans="1:14" s="45" customFormat="1" x14ac:dyDescent="0.25">
      <c r="A102" s="27"/>
      <c r="B102" s="27"/>
      <c r="C102" s="27"/>
      <c r="D102" s="27"/>
      <c r="E102" s="27"/>
      <c r="F102" s="27"/>
      <c r="G102" s="27"/>
      <c r="H102" s="27"/>
      <c r="I102" s="27"/>
      <c r="J102" s="27"/>
      <c r="K102" s="27"/>
      <c r="L102" s="27"/>
      <c r="M102" s="27"/>
      <c r="N102" s="27"/>
    </row>
    <row r="103" spans="1:14" s="45" customFormat="1" x14ac:dyDescent="0.25">
      <c r="A103" s="27"/>
      <c r="B103" s="27"/>
      <c r="C103" s="27"/>
      <c r="D103" s="27"/>
      <c r="E103" s="27"/>
      <c r="F103" s="27"/>
      <c r="G103" s="27"/>
      <c r="H103" s="27"/>
      <c r="I103" s="27"/>
      <c r="J103" s="27"/>
      <c r="K103" s="27"/>
      <c r="L103" s="27"/>
      <c r="M103" s="27"/>
      <c r="N103" s="27"/>
    </row>
    <row r="104" spans="1:14" s="45" customFormat="1" x14ac:dyDescent="0.25">
      <c r="A104" s="27"/>
      <c r="B104" s="27"/>
      <c r="C104" s="27"/>
      <c r="D104" s="27"/>
      <c r="E104" s="27"/>
      <c r="F104" s="27"/>
      <c r="G104" s="27"/>
      <c r="H104" s="27"/>
      <c r="I104" s="27"/>
      <c r="J104" s="27"/>
      <c r="K104" s="27"/>
      <c r="L104" s="27"/>
      <c r="M104" s="27"/>
      <c r="N104" s="27"/>
    </row>
    <row r="105" spans="1:14" s="45" customFormat="1" x14ac:dyDescent="0.25">
      <c r="A105" s="27"/>
      <c r="B105" s="27"/>
      <c r="C105" s="27"/>
      <c r="D105" s="27"/>
      <c r="E105" s="27"/>
      <c r="F105" s="27"/>
      <c r="G105" s="27"/>
      <c r="H105" s="27"/>
      <c r="I105" s="27"/>
      <c r="J105" s="27"/>
      <c r="K105" s="27"/>
      <c r="L105" s="27"/>
      <c r="M105" s="27"/>
      <c r="N105" s="27"/>
    </row>
    <row r="106" spans="1:14" s="45" customFormat="1" x14ac:dyDescent="0.25">
      <c r="A106" s="27"/>
      <c r="B106" s="27"/>
      <c r="C106" s="27"/>
      <c r="D106" s="27"/>
      <c r="E106" s="27"/>
      <c r="F106" s="27"/>
      <c r="G106" s="27"/>
      <c r="H106" s="27"/>
      <c r="I106" s="27"/>
      <c r="J106" s="27"/>
      <c r="K106" s="27"/>
      <c r="L106" s="27"/>
      <c r="M106" s="27"/>
      <c r="N106" s="27"/>
    </row>
    <row r="107" spans="1:14" s="45" customFormat="1" x14ac:dyDescent="0.25">
      <c r="A107" s="27"/>
      <c r="B107" s="27"/>
      <c r="C107" s="27"/>
      <c r="D107" s="27"/>
      <c r="E107" s="27"/>
      <c r="F107" s="27"/>
      <c r="G107" s="27"/>
      <c r="H107" s="27"/>
      <c r="I107" s="27"/>
      <c r="J107" s="27"/>
      <c r="K107" s="27"/>
      <c r="L107" s="27"/>
      <c r="M107" s="27"/>
      <c r="N107" s="27"/>
    </row>
    <row r="108" spans="1:14" s="45" customFormat="1" x14ac:dyDescent="0.25">
      <c r="A108" s="27"/>
      <c r="B108" s="27"/>
      <c r="C108" s="27"/>
      <c r="D108" s="27"/>
      <c r="E108" s="27"/>
      <c r="F108" s="27"/>
      <c r="G108" s="27"/>
      <c r="H108" s="27"/>
      <c r="I108" s="27"/>
      <c r="J108" s="27"/>
      <c r="K108" s="27"/>
      <c r="L108" s="27"/>
      <c r="M108" s="27"/>
      <c r="N108" s="27"/>
    </row>
    <row r="109" spans="1:14" s="45" customFormat="1" x14ac:dyDescent="0.25">
      <c r="A109" s="27"/>
      <c r="B109" s="27"/>
      <c r="C109" s="27"/>
      <c r="D109" s="27"/>
      <c r="E109" s="27"/>
      <c r="F109" s="27"/>
      <c r="G109" s="27"/>
      <c r="H109" s="27"/>
      <c r="I109" s="27"/>
      <c r="J109" s="27"/>
      <c r="K109" s="27"/>
      <c r="L109" s="27"/>
      <c r="M109" s="27"/>
      <c r="N109" s="27"/>
    </row>
    <row r="110" spans="1:14" s="45" customFormat="1" x14ac:dyDescent="0.25">
      <c r="A110" s="27"/>
      <c r="B110" s="27"/>
      <c r="C110" s="27"/>
      <c r="D110" s="27"/>
      <c r="E110" s="27"/>
      <c r="F110" s="27"/>
      <c r="G110" s="27"/>
      <c r="H110" s="27"/>
      <c r="I110" s="27"/>
      <c r="J110" s="27"/>
      <c r="K110" s="27"/>
      <c r="L110" s="27"/>
      <c r="M110" s="27"/>
      <c r="N110" s="27"/>
    </row>
    <row r="111" spans="1:14" s="45" customFormat="1" x14ac:dyDescent="0.25">
      <c r="A111" s="27"/>
      <c r="B111" s="27"/>
      <c r="C111" s="27"/>
      <c r="D111" s="27"/>
      <c r="E111" s="27"/>
      <c r="F111" s="27"/>
      <c r="G111" s="27"/>
      <c r="H111" s="27"/>
      <c r="I111" s="27"/>
      <c r="J111" s="27"/>
      <c r="K111" s="27"/>
      <c r="L111" s="27"/>
      <c r="M111" s="27"/>
      <c r="N111" s="27"/>
    </row>
    <row r="112" spans="1:14" s="45" customFormat="1" x14ac:dyDescent="0.25">
      <c r="A112" s="27"/>
      <c r="B112" s="27"/>
      <c r="C112" s="27"/>
      <c r="D112" s="27"/>
      <c r="E112" s="27"/>
      <c r="F112" s="27"/>
      <c r="G112" s="27"/>
      <c r="H112" s="27"/>
      <c r="I112" s="27"/>
      <c r="J112" s="27"/>
      <c r="K112" s="27"/>
      <c r="L112" s="27"/>
      <c r="M112" s="27"/>
      <c r="N112" s="27"/>
    </row>
    <row r="113" spans="1:14" s="45" customFormat="1" x14ac:dyDescent="0.25">
      <c r="A113" s="27"/>
      <c r="B113" s="27"/>
      <c r="C113" s="27"/>
      <c r="D113" s="27"/>
      <c r="E113" s="27"/>
      <c r="F113" s="27"/>
      <c r="G113" s="27"/>
      <c r="H113" s="27"/>
      <c r="I113" s="27"/>
      <c r="J113" s="27"/>
      <c r="K113" s="27"/>
      <c r="L113" s="27"/>
      <c r="M113" s="27"/>
      <c r="N113" s="27"/>
    </row>
    <row r="114" spans="1:14" s="45" customFormat="1" x14ac:dyDescent="0.25">
      <c r="A114" s="27"/>
      <c r="B114" s="27"/>
      <c r="C114" s="27"/>
      <c r="D114" s="27"/>
      <c r="E114" s="27"/>
      <c r="F114" s="27"/>
      <c r="G114" s="27"/>
      <c r="H114" s="27"/>
      <c r="I114" s="27"/>
      <c r="J114" s="27"/>
      <c r="K114" s="27"/>
      <c r="L114" s="27"/>
      <c r="M114" s="27"/>
      <c r="N114" s="27"/>
    </row>
    <row r="115" spans="1:14" s="45" customFormat="1" x14ac:dyDescent="0.25">
      <c r="A115" s="27"/>
      <c r="B115" s="27"/>
      <c r="C115" s="27"/>
      <c r="D115" s="27"/>
      <c r="E115" s="27"/>
      <c r="F115" s="27"/>
      <c r="G115" s="27"/>
      <c r="H115" s="27"/>
      <c r="I115" s="27"/>
      <c r="J115" s="27"/>
      <c r="K115" s="27"/>
      <c r="L115" s="27"/>
      <c r="M115" s="27"/>
      <c r="N115" s="27"/>
    </row>
    <row r="116" spans="1:14" s="45" customFormat="1" x14ac:dyDescent="0.25">
      <c r="A116" s="27"/>
      <c r="B116" s="27"/>
      <c r="C116" s="27"/>
      <c r="D116" s="27"/>
      <c r="E116" s="27"/>
      <c r="F116" s="27"/>
      <c r="G116" s="27"/>
      <c r="H116" s="27"/>
      <c r="I116" s="27"/>
      <c r="J116" s="27"/>
      <c r="K116" s="27"/>
      <c r="L116" s="27"/>
      <c r="M116" s="27"/>
      <c r="N116" s="27"/>
    </row>
    <row r="117" spans="1:14" s="45" customFormat="1" x14ac:dyDescent="0.25">
      <c r="A117" s="27"/>
      <c r="B117" s="27"/>
      <c r="C117" s="27"/>
      <c r="D117" s="27"/>
      <c r="E117" s="27"/>
      <c r="F117" s="27"/>
      <c r="G117" s="27"/>
      <c r="H117" s="27"/>
      <c r="I117" s="27"/>
      <c r="J117" s="27"/>
      <c r="K117" s="27"/>
      <c r="L117" s="27"/>
      <c r="M117" s="27"/>
      <c r="N117" s="27"/>
    </row>
    <row r="118" spans="1:14" s="45" customFormat="1" x14ac:dyDescent="0.25">
      <c r="A118" s="27"/>
      <c r="B118" s="27"/>
      <c r="C118" s="27"/>
      <c r="D118" s="27"/>
      <c r="E118" s="27"/>
      <c r="F118" s="27"/>
      <c r="G118" s="27"/>
      <c r="H118" s="27"/>
      <c r="I118" s="27"/>
      <c r="J118" s="27"/>
      <c r="K118" s="27"/>
      <c r="L118" s="27"/>
      <c r="M118" s="27"/>
      <c r="N118" s="27"/>
    </row>
    <row r="119" spans="1:14" s="45" customFormat="1" x14ac:dyDescent="0.25">
      <c r="A119" s="27"/>
      <c r="B119" s="27"/>
      <c r="C119" s="27"/>
      <c r="D119" s="27"/>
      <c r="E119" s="27"/>
      <c r="F119" s="27"/>
      <c r="G119" s="27"/>
      <c r="H119" s="27"/>
      <c r="I119" s="27"/>
      <c r="J119" s="27"/>
      <c r="K119" s="27"/>
      <c r="L119" s="27"/>
      <c r="M119" s="27"/>
      <c r="N119" s="27"/>
    </row>
    <row r="120" spans="1:14" s="45" customFormat="1" x14ac:dyDescent="0.25">
      <c r="A120" s="27"/>
      <c r="B120" s="27"/>
      <c r="C120" s="27"/>
      <c r="D120" s="27"/>
      <c r="E120" s="27"/>
      <c r="F120" s="27"/>
      <c r="G120" s="27"/>
      <c r="H120" s="27"/>
      <c r="I120" s="27"/>
      <c r="J120" s="27"/>
      <c r="K120" s="27"/>
      <c r="L120" s="27"/>
      <c r="M120" s="27"/>
      <c r="N120" s="27"/>
    </row>
    <row r="121" spans="1:14" s="45" customFormat="1" x14ac:dyDescent="0.25">
      <c r="A121" s="27"/>
      <c r="B121" s="27"/>
      <c r="C121" s="27"/>
      <c r="D121" s="27"/>
      <c r="E121" s="27"/>
      <c r="F121" s="27"/>
      <c r="G121" s="27"/>
      <c r="H121" s="27"/>
      <c r="I121" s="27"/>
      <c r="J121" s="27"/>
      <c r="K121" s="27"/>
      <c r="L121" s="27"/>
      <c r="M121" s="27"/>
      <c r="N121" s="27"/>
    </row>
    <row r="122" spans="1:14" s="45" customFormat="1" x14ac:dyDescent="0.25">
      <c r="A122" s="27"/>
      <c r="B122" s="27"/>
      <c r="C122" s="27"/>
      <c r="D122" s="27"/>
      <c r="E122" s="27"/>
      <c r="F122" s="27"/>
      <c r="G122" s="27"/>
      <c r="H122" s="27"/>
      <c r="I122" s="27"/>
      <c r="J122" s="27"/>
      <c r="K122" s="27"/>
      <c r="L122" s="27"/>
      <c r="M122" s="27"/>
      <c r="N122" s="27"/>
    </row>
    <row r="123" spans="1:14" s="45" customFormat="1" x14ac:dyDescent="0.25">
      <c r="A123" s="27"/>
      <c r="B123" s="27"/>
      <c r="C123" s="27"/>
      <c r="D123" s="27"/>
      <c r="E123" s="27"/>
      <c r="F123" s="27"/>
      <c r="G123" s="27"/>
      <c r="H123" s="27"/>
      <c r="I123" s="27"/>
      <c r="J123" s="27"/>
      <c r="K123" s="27"/>
      <c r="L123" s="27"/>
      <c r="M123" s="27"/>
      <c r="N123" s="27"/>
    </row>
    <row r="124" spans="1:14" s="45" customFormat="1" x14ac:dyDescent="0.25">
      <c r="A124" s="27"/>
      <c r="B124" s="27"/>
      <c r="C124" s="27"/>
      <c r="D124" s="27"/>
      <c r="E124" s="27"/>
      <c r="F124" s="27"/>
      <c r="G124" s="27"/>
      <c r="H124" s="27"/>
      <c r="I124" s="27"/>
      <c r="J124" s="27"/>
      <c r="K124" s="27"/>
      <c r="L124" s="27"/>
      <c r="M124" s="27"/>
      <c r="N124" s="27"/>
    </row>
    <row r="125" spans="1:14" s="45" customFormat="1" x14ac:dyDescent="0.25">
      <c r="A125" s="27"/>
      <c r="B125" s="27"/>
      <c r="C125" s="27"/>
      <c r="D125" s="27"/>
      <c r="E125" s="27"/>
      <c r="F125" s="27"/>
      <c r="G125" s="27"/>
      <c r="H125" s="27"/>
      <c r="I125" s="27"/>
      <c r="J125" s="27"/>
      <c r="K125" s="27"/>
      <c r="L125" s="27"/>
      <c r="M125" s="27"/>
      <c r="N125" s="27"/>
    </row>
    <row r="126" spans="1:14" s="45" customFormat="1" x14ac:dyDescent="0.25">
      <c r="A126" s="27"/>
      <c r="B126" s="27"/>
      <c r="C126" s="27"/>
      <c r="D126" s="27"/>
      <c r="E126" s="27"/>
      <c r="F126" s="27"/>
      <c r="G126" s="27"/>
      <c r="H126" s="27"/>
      <c r="I126" s="27"/>
      <c r="J126" s="27"/>
      <c r="K126" s="27"/>
      <c r="L126" s="27"/>
      <c r="M126" s="27"/>
      <c r="N126" s="27"/>
    </row>
    <row r="127" spans="1:14" s="45" customFormat="1" x14ac:dyDescent="0.25">
      <c r="A127" s="27"/>
      <c r="B127" s="27"/>
      <c r="C127" s="27"/>
      <c r="D127" s="27"/>
      <c r="E127" s="27"/>
      <c r="F127" s="27"/>
      <c r="G127" s="27"/>
      <c r="H127" s="27"/>
      <c r="I127" s="27"/>
      <c r="J127" s="27"/>
      <c r="K127" s="27"/>
      <c r="L127" s="27"/>
      <c r="M127" s="27"/>
      <c r="N127" s="27"/>
    </row>
    <row r="128" spans="1:14" s="45" customFormat="1" x14ac:dyDescent="0.25">
      <c r="A128" s="27"/>
      <c r="B128" s="27"/>
      <c r="C128" s="27"/>
      <c r="D128" s="27"/>
      <c r="E128" s="27"/>
      <c r="F128" s="27"/>
      <c r="G128" s="27"/>
      <c r="H128" s="27"/>
      <c r="I128" s="27"/>
      <c r="J128" s="27"/>
      <c r="K128" s="27"/>
      <c r="L128" s="27"/>
      <c r="M128" s="27"/>
      <c r="N128" s="27"/>
    </row>
    <row r="129" spans="1:14" s="45" customFormat="1" x14ac:dyDescent="0.25">
      <c r="A129" s="27"/>
      <c r="B129" s="27"/>
      <c r="C129" s="27"/>
      <c r="D129" s="27"/>
      <c r="E129" s="27"/>
      <c r="F129" s="27"/>
      <c r="G129" s="27"/>
      <c r="H129" s="27"/>
      <c r="I129" s="27"/>
      <c r="J129" s="27"/>
      <c r="K129" s="27"/>
      <c r="L129" s="27"/>
      <c r="M129" s="27"/>
      <c r="N129" s="27"/>
    </row>
    <row r="130" spans="1:14" s="45" customFormat="1" x14ac:dyDescent="0.25">
      <c r="A130" s="27"/>
      <c r="B130" s="27"/>
      <c r="C130" s="27"/>
      <c r="D130" s="27"/>
      <c r="E130" s="27"/>
      <c r="F130" s="27"/>
      <c r="G130" s="27"/>
      <c r="H130" s="27"/>
      <c r="I130" s="27"/>
      <c r="J130" s="27"/>
      <c r="K130" s="27"/>
      <c r="L130" s="27"/>
      <c r="M130" s="27"/>
      <c r="N130" s="27"/>
    </row>
    <row r="131" spans="1:14" s="45" customFormat="1" x14ac:dyDescent="0.25">
      <c r="A131" s="27"/>
      <c r="B131" s="27"/>
      <c r="C131" s="27"/>
      <c r="D131" s="27"/>
      <c r="E131" s="27"/>
      <c r="F131" s="27"/>
      <c r="G131" s="27"/>
      <c r="H131" s="27"/>
      <c r="I131" s="27"/>
      <c r="J131" s="27"/>
      <c r="K131" s="27"/>
      <c r="L131" s="27"/>
      <c r="M131" s="27"/>
      <c r="N131" s="27"/>
    </row>
    <row r="132" spans="1:14" s="45" customFormat="1" x14ac:dyDescent="0.25">
      <c r="A132" s="27"/>
      <c r="B132" s="27"/>
      <c r="C132" s="27"/>
      <c r="D132" s="27"/>
      <c r="E132" s="27"/>
      <c r="F132" s="27"/>
      <c r="G132" s="27"/>
      <c r="H132" s="27"/>
      <c r="I132" s="27"/>
      <c r="J132" s="27"/>
      <c r="K132" s="27"/>
      <c r="L132" s="27"/>
      <c r="M132" s="27"/>
      <c r="N132" s="27"/>
    </row>
    <row r="133" spans="1:14" s="45" customFormat="1" x14ac:dyDescent="0.25">
      <c r="A133" s="27"/>
      <c r="B133" s="27"/>
      <c r="C133" s="27"/>
      <c r="D133" s="27"/>
      <c r="E133" s="27"/>
      <c r="F133" s="27"/>
      <c r="G133" s="27"/>
      <c r="H133" s="27"/>
      <c r="I133" s="27"/>
      <c r="J133" s="27"/>
      <c r="K133" s="27"/>
      <c r="L133" s="27"/>
      <c r="M133" s="27"/>
      <c r="N133" s="27"/>
    </row>
    <row r="134" spans="1:14" s="45" customFormat="1" x14ac:dyDescent="0.25">
      <c r="A134" s="27"/>
      <c r="B134" s="27"/>
      <c r="C134" s="27"/>
      <c r="D134" s="27"/>
      <c r="E134" s="27"/>
      <c r="F134" s="27"/>
      <c r="G134" s="27"/>
      <c r="H134" s="27"/>
      <c r="I134" s="27"/>
      <c r="J134" s="27"/>
      <c r="K134" s="27"/>
      <c r="L134" s="27"/>
      <c r="M134" s="27"/>
      <c r="N134" s="27"/>
    </row>
    <row r="135" spans="1:14" s="45" customFormat="1" x14ac:dyDescent="0.25">
      <c r="A135" s="27"/>
      <c r="B135" s="27"/>
      <c r="C135" s="27"/>
      <c r="D135" s="27"/>
      <c r="E135" s="27"/>
      <c r="F135" s="27"/>
      <c r="G135" s="27"/>
      <c r="H135" s="27"/>
      <c r="I135" s="27"/>
      <c r="J135" s="27"/>
      <c r="K135" s="27"/>
      <c r="L135" s="27"/>
      <c r="M135" s="27"/>
      <c r="N135" s="27"/>
    </row>
    <row r="136" spans="1:14" s="45" customFormat="1" x14ac:dyDescent="0.25">
      <c r="A136" s="27"/>
      <c r="B136" s="27"/>
      <c r="C136" s="27"/>
      <c r="D136" s="27"/>
      <c r="E136" s="27"/>
      <c r="F136" s="27"/>
      <c r="G136" s="27"/>
      <c r="H136" s="27"/>
      <c r="I136" s="27"/>
      <c r="J136" s="27"/>
      <c r="K136" s="27"/>
      <c r="L136" s="27"/>
      <c r="M136" s="27"/>
      <c r="N136" s="27"/>
    </row>
    <row r="137" spans="1:14" s="45" customFormat="1" x14ac:dyDescent="0.25">
      <c r="A137" s="27"/>
      <c r="B137" s="27"/>
      <c r="C137" s="27"/>
      <c r="D137" s="27"/>
      <c r="E137" s="27"/>
      <c r="F137" s="27"/>
      <c r="G137" s="27"/>
      <c r="H137" s="27"/>
      <c r="I137" s="27"/>
      <c r="J137" s="27"/>
      <c r="K137" s="27"/>
      <c r="L137" s="27"/>
      <c r="M137" s="27"/>
      <c r="N137" s="27"/>
    </row>
    <row r="138" spans="1:14" s="45" customFormat="1" x14ac:dyDescent="0.25">
      <c r="A138" s="27"/>
      <c r="B138" s="27"/>
      <c r="C138" s="27"/>
      <c r="D138" s="27"/>
      <c r="E138" s="27"/>
      <c r="F138" s="27"/>
      <c r="G138" s="27"/>
      <c r="H138" s="27"/>
      <c r="I138" s="27"/>
      <c r="J138" s="27"/>
      <c r="K138" s="27"/>
      <c r="L138" s="27"/>
      <c r="M138" s="27"/>
      <c r="N138" s="27"/>
    </row>
    <row r="139" spans="1:14" s="45" customFormat="1" x14ac:dyDescent="0.25">
      <c r="A139" s="27"/>
      <c r="B139" s="27"/>
      <c r="C139" s="27"/>
      <c r="D139" s="27"/>
      <c r="E139" s="27"/>
      <c r="F139" s="27"/>
      <c r="G139" s="27"/>
      <c r="H139" s="27"/>
      <c r="I139" s="27"/>
      <c r="J139" s="27"/>
      <c r="K139" s="27"/>
      <c r="L139" s="27"/>
      <c r="M139" s="27"/>
      <c r="N139" s="27"/>
    </row>
    <row r="140" spans="1:14" s="45" customFormat="1" x14ac:dyDescent="0.25">
      <c r="A140" s="27"/>
      <c r="B140" s="27"/>
      <c r="C140" s="27"/>
      <c r="D140" s="27"/>
      <c r="E140" s="27"/>
      <c r="F140" s="27"/>
      <c r="G140" s="27"/>
      <c r="H140" s="27"/>
      <c r="I140" s="27"/>
      <c r="J140" s="27"/>
      <c r="K140" s="27"/>
      <c r="L140" s="27"/>
      <c r="M140" s="27"/>
      <c r="N140" s="27"/>
    </row>
    <row r="141" spans="1:14" s="45" customFormat="1" x14ac:dyDescent="0.25">
      <c r="A141" s="27"/>
      <c r="B141" s="27"/>
      <c r="C141" s="27"/>
      <c r="D141" s="27"/>
      <c r="E141" s="27"/>
      <c r="F141" s="27"/>
      <c r="G141" s="27"/>
      <c r="H141" s="27"/>
      <c r="I141" s="27"/>
      <c r="J141" s="27"/>
      <c r="K141" s="27"/>
      <c r="L141" s="27"/>
      <c r="M141" s="27"/>
      <c r="N141" s="27"/>
    </row>
    <row r="142" spans="1:14" s="45" customFormat="1" x14ac:dyDescent="0.25">
      <c r="A142" s="27"/>
      <c r="B142" s="27"/>
      <c r="C142" s="27"/>
      <c r="D142" s="27"/>
      <c r="E142" s="27"/>
      <c r="F142" s="27"/>
      <c r="G142" s="27"/>
      <c r="H142" s="27"/>
      <c r="I142" s="27"/>
      <c r="J142" s="27"/>
      <c r="K142" s="27"/>
      <c r="L142" s="27"/>
      <c r="M142" s="27"/>
      <c r="N142" s="27"/>
    </row>
    <row r="143" spans="1:14" s="45" customFormat="1" x14ac:dyDescent="0.25">
      <c r="A143" s="27"/>
      <c r="B143" s="27"/>
      <c r="C143" s="27"/>
      <c r="D143" s="27"/>
      <c r="E143" s="27"/>
      <c r="F143" s="27"/>
      <c r="G143" s="27"/>
      <c r="H143" s="27"/>
      <c r="I143" s="27"/>
      <c r="J143" s="27"/>
      <c r="K143" s="27"/>
      <c r="L143" s="27"/>
      <c r="M143" s="27"/>
      <c r="N143" s="27"/>
    </row>
    <row r="144" spans="1:14" s="45" customFormat="1" x14ac:dyDescent="0.25">
      <c r="A144" s="27"/>
      <c r="B144" s="27"/>
      <c r="C144" s="27"/>
      <c r="D144" s="27"/>
      <c r="E144" s="27"/>
      <c r="F144" s="27"/>
      <c r="G144" s="27"/>
      <c r="H144" s="27"/>
      <c r="I144" s="27"/>
      <c r="J144" s="27"/>
      <c r="K144" s="27"/>
      <c r="L144" s="27"/>
      <c r="M144" s="27"/>
      <c r="N144" s="27"/>
    </row>
    <row r="145" spans="1:14" s="45" customFormat="1" x14ac:dyDescent="0.25">
      <c r="A145" s="27"/>
      <c r="B145" s="27"/>
      <c r="C145" s="27"/>
      <c r="D145" s="27"/>
      <c r="E145" s="27"/>
      <c r="F145" s="27"/>
      <c r="G145" s="27"/>
      <c r="H145" s="27"/>
      <c r="I145" s="27"/>
      <c r="J145" s="27"/>
      <c r="K145" s="27"/>
      <c r="L145" s="27"/>
      <c r="M145" s="27"/>
      <c r="N145" s="27"/>
    </row>
    <row r="146" spans="1:14" s="45" customFormat="1" x14ac:dyDescent="0.25">
      <c r="A146" s="27"/>
      <c r="B146" s="27"/>
      <c r="C146" s="27"/>
      <c r="D146" s="27"/>
      <c r="E146" s="27"/>
      <c r="F146" s="27"/>
      <c r="G146" s="27"/>
      <c r="H146" s="27"/>
      <c r="I146" s="27"/>
      <c r="J146" s="27"/>
      <c r="K146" s="27"/>
      <c r="L146" s="27"/>
      <c r="M146" s="27"/>
      <c r="N146" s="27"/>
    </row>
    <row r="147" spans="1:14" s="45" customFormat="1" x14ac:dyDescent="0.25">
      <c r="A147" s="27"/>
      <c r="B147" s="27"/>
      <c r="C147" s="27"/>
      <c r="D147" s="27"/>
      <c r="E147" s="27"/>
      <c r="F147" s="27"/>
      <c r="G147" s="27"/>
      <c r="H147" s="27"/>
      <c r="I147" s="27"/>
      <c r="J147" s="27"/>
      <c r="K147" s="27"/>
      <c r="L147" s="27"/>
      <c r="M147" s="27"/>
      <c r="N147" s="27"/>
    </row>
    <row r="148" spans="1:14" s="45" customFormat="1" x14ac:dyDescent="0.25">
      <c r="A148" s="27"/>
      <c r="B148" s="27"/>
      <c r="C148" s="27"/>
      <c r="D148" s="27"/>
      <c r="E148" s="27"/>
      <c r="F148" s="27"/>
      <c r="G148" s="27"/>
      <c r="H148" s="27"/>
      <c r="I148" s="27"/>
      <c r="J148" s="27"/>
      <c r="K148" s="27"/>
      <c r="L148" s="27"/>
      <c r="M148" s="27"/>
      <c r="N148" s="27"/>
    </row>
    <row r="149" spans="1:14" s="45" customFormat="1" x14ac:dyDescent="0.25">
      <c r="A149" s="27"/>
      <c r="B149" s="27"/>
      <c r="C149" s="27"/>
      <c r="D149" s="27"/>
      <c r="E149" s="27"/>
      <c r="F149" s="27"/>
      <c r="G149" s="27"/>
      <c r="H149" s="27"/>
      <c r="I149" s="27"/>
      <c r="J149" s="27"/>
      <c r="K149" s="27"/>
      <c r="L149" s="27"/>
      <c r="M149" s="27"/>
      <c r="N149" s="27"/>
    </row>
    <row r="150" spans="1:14" s="45" customFormat="1" x14ac:dyDescent="0.25">
      <c r="A150" s="27"/>
      <c r="B150" s="27"/>
      <c r="C150" s="27"/>
      <c r="D150" s="27"/>
      <c r="E150" s="27"/>
      <c r="F150" s="27"/>
      <c r="G150" s="27"/>
      <c r="H150" s="27"/>
      <c r="I150" s="27"/>
      <c r="J150" s="27"/>
      <c r="K150" s="27"/>
      <c r="L150" s="27"/>
      <c r="M150" s="27"/>
      <c r="N150" s="27"/>
    </row>
    <row r="151" spans="1:14" s="45" customFormat="1" x14ac:dyDescent="0.25">
      <c r="A151" s="27"/>
      <c r="B151" s="27"/>
      <c r="C151" s="27"/>
      <c r="D151" s="27"/>
      <c r="E151" s="27"/>
      <c r="F151" s="27"/>
      <c r="G151" s="27"/>
      <c r="H151" s="27"/>
      <c r="I151" s="27"/>
      <c r="J151" s="27"/>
      <c r="K151" s="27"/>
      <c r="L151" s="27"/>
      <c r="M151" s="27"/>
      <c r="N151" s="27"/>
    </row>
    <row r="152" spans="1:14" s="45" customFormat="1" x14ac:dyDescent="0.25">
      <c r="A152" s="27"/>
      <c r="B152" s="27"/>
      <c r="C152" s="27"/>
      <c r="D152" s="27"/>
      <c r="E152" s="27"/>
      <c r="F152" s="27"/>
      <c r="G152" s="27"/>
      <c r="H152" s="27"/>
      <c r="I152" s="27"/>
      <c r="J152" s="27"/>
      <c r="K152" s="27"/>
      <c r="L152" s="27"/>
      <c r="M152" s="27"/>
      <c r="N152" s="27"/>
    </row>
    <row r="153" spans="1:14" s="45" customFormat="1" x14ac:dyDescent="0.25">
      <c r="A153" s="27"/>
      <c r="B153" s="27"/>
      <c r="C153" s="27"/>
      <c r="D153" s="27"/>
      <c r="E153" s="27"/>
      <c r="F153" s="27"/>
      <c r="G153" s="27"/>
      <c r="H153" s="27"/>
      <c r="I153" s="27"/>
      <c r="J153" s="27"/>
      <c r="K153" s="27"/>
      <c r="L153" s="27"/>
      <c r="M153" s="27"/>
      <c r="N153" s="27"/>
    </row>
    <row r="154" spans="1:14" s="45" customFormat="1" x14ac:dyDescent="0.25">
      <c r="A154" s="27"/>
      <c r="B154" s="27"/>
      <c r="C154" s="27"/>
      <c r="D154" s="27"/>
      <c r="E154" s="27"/>
      <c r="F154" s="27"/>
      <c r="G154" s="27"/>
      <c r="H154" s="27"/>
      <c r="I154" s="27"/>
      <c r="J154" s="27"/>
      <c r="K154" s="27"/>
      <c r="L154" s="27"/>
      <c r="M154" s="27"/>
      <c r="N154" s="27"/>
    </row>
    <row r="155" spans="1:14" s="45" customFormat="1" x14ac:dyDescent="0.25">
      <c r="A155" s="27"/>
      <c r="B155" s="27"/>
      <c r="C155" s="27"/>
      <c r="D155" s="27"/>
      <c r="E155" s="27"/>
      <c r="F155" s="27"/>
      <c r="G155" s="27"/>
      <c r="H155" s="27"/>
      <c r="I155" s="27"/>
      <c r="J155" s="27"/>
      <c r="K155" s="27"/>
      <c r="L155" s="27"/>
      <c r="M155" s="27"/>
      <c r="N155" s="27"/>
    </row>
    <row r="156" spans="1:14" s="45" customFormat="1" x14ac:dyDescent="0.25">
      <c r="A156" s="27"/>
      <c r="B156" s="27"/>
      <c r="C156" s="27"/>
      <c r="D156" s="27"/>
      <c r="E156" s="27"/>
      <c r="F156" s="27"/>
      <c r="G156" s="27"/>
      <c r="H156" s="27"/>
      <c r="I156" s="27"/>
      <c r="J156" s="27"/>
      <c r="K156" s="27"/>
      <c r="L156" s="27"/>
      <c r="M156" s="27"/>
      <c r="N156" s="27"/>
    </row>
    <row r="157" spans="1:14" s="45" customFormat="1" x14ac:dyDescent="0.25">
      <c r="A157" s="27"/>
      <c r="B157" s="27"/>
      <c r="C157" s="27"/>
      <c r="D157" s="27"/>
      <c r="E157" s="27"/>
      <c r="F157" s="27"/>
      <c r="G157" s="27"/>
      <c r="H157" s="27"/>
      <c r="I157" s="27"/>
      <c r="J157" s="27"/>
      <c r="K157" s="27"/>
      <c r="L157" s="27"/>
      <c r="M157" s="27"/>
      <c r="N157" s="27"/>
    </row>
    <row r="158" spans="1:14" s="45" customFormat="1" x14ac:dyDescent="0.25">
      <c r="A158" s="27"/>
      <c r="B158" s="27"/>
      <c r="C158" s="27"/>
      <c r="D158" s="27"/>
      <c r="E158" s="27"/>
      <c r="F158" s="27"/>
      <c r="G158" s="27"/>
      <c r="H158" s="27"/>
      <c r="I158" s="27"/>
      <c r="J158" s="27"/>
      <c r="K158" s="27"/>
      <c r="L158" s="27"/>
      <c r="M158" s="27"/>
      <c r="N158" s="27"/>
    </row>
  </sheetData>
  <mergeCells count="5">
    <mergeCell ref="A1:F1"/>
    <mergeCell ref="A6:F6"/>
    <mergeCell ref="A3:K4"/>
    <mergeCell ref="A8:G8"/>
    <mergeCell ref="A26:G26"/>
  </mergeCells>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28" zoomScaleNormal="100" workbookViewId="0">
      <selection activeCell="H34" sqref="H34"/>
    </sheetView>
  </sheetViews>
  <sheetFormatPr defaultRowHeight="15" x14ac:dyDescent="0.25"/>
  <cols>
    <col min="1" max="1" width="9.140625" style="1"/>
    <col min="2" max="2" width="16.140625" customWidth="1"/>
    <col min="3" max="3" width="49.140625" customWidth="1"/>
    <col min="4" max="4" width="12.140625" customWidth="1"/>
    <col min="5" max="5" width="18.5703125" customWidth="1"/>
  </cols>
  <sheetData>
    <row r="1" spans="1:5" x14ac:dyDescent="0.25">
      <c r="A1" s="3" t="s">
        <v>10</v>
      </c>
      <c r="B1" s="153" t="s">
        <v>11</v>
      </c>
      <c r="C1" s="153"/>
      <c r="D1" s="153"/>
      <c r="E1" s="153"/>
    </row>
    <row r="2" spans="1:5" ht="78.75" customHeight="1" x14ac:dyDescent="0.25">
      <c r="A2" s="1">
        <v>1</v>
      </c>
      <c r="B2" s="152" t="s">
        <v>18</v>
      </c>
      <c r="C2" s="152"/>
      <c r="D2" s="152"/>
      <c r="E2" s="152"/>
    </row>
    <row r="3" spans="1:5" x14ac:dyDescent="0.25">
      <c r="B3" s="36"/>
      <c r="C3" s="36"/>
      <c r="D3" s="36"/>
      <c r="E3" s="36"/>
    </row>
    <row r="4" spans="1:5" ht="33" customHeight="1" x14ac:dyDescent="0.25">
      <c r="A4" s="1">
        <v>2</v>
      </c>
      <c r="B4" s="152" t="s">
        <v>19</v>
      </c>
      <c r="C4" s="152"/>
      <c r="D4" s="152"/>
      <c r="E4" s="152"/>
    </row>
    <row r="5" spans="1:5" x14ac:dyDescent="0.25">
      <c r="B5" s="36"/>
      <c r="C5" s="36"/>
      <c r="D5" s="36"/>
      <c r="E5" s="36"/>
    </row>
    <row r="6" spans="1:5" ht="33" customHeight="1" x14ac:dyDescent="0.25">
      <c r="A6" s="1">
        <v>3</v>
      </c>
      <c r="B6" s="152" t="s">
        <v>647</v>
      </c>
      <c r="C6" s="152"/>
      <c r="D6" s="152"/>
      <c r="E6" s="152"/>
    </row>
    <row r="7" spans="1:5" x14ac:dyDescent="0.25">
      <c r="B7" s="36"/>
      <c r="C7" s="36"/>
      <c r="D7" s="36"/>
      <c r="E7" s="36"/>
    </row>
    <row r="8" spans="1:5" ht="15" customHeight="1" x14ac:dyDescent="0.25">
      <c r="A8" s="1">
        <v>4</v>
      </c>
      <c r="B8" s="152" t="s">
        <v>16</v>
      </c>
      <c r="C8" s="152"/>
      <c r="D8" s="152"/>
      <c r="E8" s="152"/>
    </row>
    <row r="9" spans="1:5" x14ac:dyDescent="0.25">
      <c r="B9" s="36"/>
      <c r="C9" s="36"/>
      <c r="D9" s="36"/>
      <c r="E9" s="36"/>
    </row>
    <row r="10" spans="1:5" ht="32.25" customHeight="1" x14ac:dyDescent="0.25">
      <c r="A10" s="1">
        <v>5</v>
      </c>
      <c r="B10" s="152" t="s">
        <v>648</v>
      </c>
      <c r="C10" s="152"/>
      <c r="D10" s="152"/>
      <c r="E10" s="152"/>
    </row>
    <row r="11" spans="1:5" x14ac:dyDescent="0.25">
      <c r="B11" s="36"/>
      <c r="C11" s="36"/>
      <c r="D11" s="36"/>
      <c r="E11" s="36"/>
    </row>
    <row r="12" spans="1:5" ht="46.5" customHeight="1" x14ac:dyDescent="0.25">
      <c r="A12" s="1">
        <v>6</v>
      </c>
      <c r="B12" s="152" t="s">
        <v>649</v>
      </c>
      <c r="C12" s="152"/>
      <c r="D12" s="152"/>
      <c r="E12" s="152"/>
    </row>
    <row r="13" spans="1:5" x14ac:dyDescent="0.25">
      <c r="B13" s="36"/>
      <c r="C13" s="36"/>
      <c r="D13" s="36"/>
      <c r="E13" s="36"/>
    </row>
    <row r="14" spans="1:5" ht="34.5" customHeight="1" x14ac:dyDescent="0.25">
      <c r="A14" s="1">
        <v>7</v>
      </c>
      <c r="B14" s="152" t="s">
        <v>650</v>
      </c>
      <c r="C14" s="152"/>
      <c r="D14" s="152"/>
      <c r="E14" s="152"/>
    </row>
    <row r="15" spans="1:5" ht="16.5" customHeight="1" x14ac:dyDescent="0.25">
      <c r="B15" s="36"/>
      <c r="C15" s="36"/>
      <c r="D15" s="36"/>
      <c r="E15" s="36"/>
    </row>
    <row r="16" spans="1:5" ht="31.5" customHeight="1" x14ac:dyDescent="0.25">
      <c r="A16" s="1">
        <v>8</v>
      </c>
      <c r="B16" s="152" t="s">
        <v>651</v>
      </c>
      <c r="C16" s="152"/>
      <c r="D16" s="152"/>
      <c r="E16" s="152"/>
    </row>
    <row r="17" spans="1:5" ht="14.25" customHeight="1" x14ac:dyDescent="0.25">
      <c r="B17" s="36"/>
      <c r="C17" s="36"/>
      <c r="D17" s="36"/>
      <c r="E17" s="36"/>
    </row>
    <row r="18" spans="1:5" ht="33" customHeight="1" x14ac:dyDescent="0.25">
      <c r="A18" s="1">
        <v>9</v>
      </c>
      <c r="B18" s="152" t="s">
        <v>652</v>
      </c>
      <c r="C18" s="152"/>
      <c r="D18" s="152"/>
      <c r="E18" s="152"/>
    </row>
    <row r="19" spans="1:5" x14ac:dyDescent="0.25">
      <c r="B19" s="36"/>
      <c r="C19" s="36"/>
      <c r="D19" s="36"/>
      <c r="E19" s="36"/>
    </row>
    <row r="20" spans="1:5" ht="30.75" customHeight="1" x14ac:dyDescent="0.25">
      <c r="A20" s="1">
        <v>10</v>
      </c>
      <c r="B20" s="152" t="s">
        <v>653</v>
      </c>
      <c r="C20" s="152"/>
      <c r="D20" s="152"/>
      <c r="E20" s="152"/>
    </row>
    <row r="21" spans="1:5" ht="15" customHeight="1" x14ac:dyDescent="0.25">
      <c r="B21" s="36"/>
      <c r="C21" s="36"/>
      <c r="D21" s="36"/>
      <c r="E21" s="36"/>
    </row>
    <row r="22" spans="1:5" ht="33" customHeight="1" x14ac:dyDescent="0.25">
      <c r="A22" s="1">
        <v>11</v>
      </c>
      <c r="B22" s="152" t="s">
        <v>20</v>
      </c>
      <c r="C22" s="152"/>
      <c r="D22" s="152"/>
      <c r="E22" s="152"/>
    </row>
    <row r="23" spans="1:5" ht="14.25" customHeight="1" x14ac:dyDescent="0.25">
      <c r="B23" s="36"/>
      <c r="C23" s="36"/>
      <c r="D23" s="36"/>
      <c r="E23" s="36"/>
    </row>
    <row r="24" spans="1:5" x14ac:dyDescent="0.25">
      <c r="A24" s="1">
        <v>12</v>
      </c>
      <c r="B24" s="152" t="s">
        <v>21</v>
      </c>
      <c r="C24" s="152"/>
      <c r="D24" s="152"/>
      <c r="E24" s="152"/>
    </row>
    <row r="25" spans="1:5" x14ac:dyDescent="0.25">
      <c r="B25" s="36"/>
      <c r="C25" s="36"/>
      <c r="D25" s="36"/>
      <c r="E25" s="36"/>
    </row>
    <row r="26" spans="1:5" x14ac:dyDescent="0.25">
      <c r="A26" s="1">
        <v>13</v>
      </c>
      <c r="B26" s="152" t="s">
        <v>36</v>
      </c>
      <c r="C26" s="152"/>
      <c r="D26" s="152"/>
      <c r="E26" s="152"/>
    </row>
    <row r="27" spans="1:5" x14ac:dyDescent="0.25">
      <c r="B27" s="4" t="s">
        <v>3</v>
      </c>
      <c r="C27" s="154" t="s">
        <v>22</v>
      </c>
      <c r="D27" s="154"/>
      <c r="E27" s="154"/>
    </row>
    <row r="28" spans="1:5" x14ac:dyDescent="0.25">
      <c r="B28" s="4" t="s">
        <v>23</v>
      </c>
      <c r="C28" s="154" t="s">
        <v>30</v>
      </c>
      <c r="D28" s="154"/>
      <c r="E28" s="154"/>
    </row>
    <row r="29" spans="1:5" x14ac:dyDescent="0.25">
      <c r="B29" s="4" t="s">
        <v>24</v>
      </c>
      <c r="C29" s="154" t="s">
        <v>31</v>
      </c>
      <c r="D29" s="154"/>
      <c r="E29" s="154"/>
    </row>
    <row r="30" spans="1:5" x14ac:dyDescent="0.25">
      <c r="B30" s="4" t="s">
        <v>25</v>
      </c>
      <c r="C30" s="154" t="s">
        <v>34</v>
      </c>
      <c r="D30" s="154"/>
      <c r="E30" s="154"/>
    </row>
    <row r="31" spans="1:5" x14ac:dyDescent="0.25">
      <c r="B31" s="4" t="s">
        <v>5</v>
      </c>
      <c r="C31" s="154" t="s">
        <v>32</v>
      </c>
      <c r="D31" s="154"/>
      <c r="E31" s="154"/>
    </row>
    <row r="32" spans="1:5" x14ac:dyDescent="0.25">
      <c r="B32" s="4" t="s">
        <v>4</v>
      </c>
      <c r="C32" s="154" t="s">
        <v>26</v>
      </c>
      <c r="D32" s="154"/>
      <c r="E32" s="154"/>
    </row>
    <row r="33" spans="1:5" x14ac:dyDescent="0.25">
      <c r="B33" s="4" t="s">
        <v>27</v>
      </c>
      <c r="C33" s="154" t="s">
        <v>28</v>
      </c>
      <c r="D33" s="154"/>
      <c r="E33" s="154"/>
    </row>
    <row r="34" spans="1:5" x14ac:dyDescent="0.25">
      <c r="B34" s="4" t="s">
        <v>29</v>
      </c>
      <c r="C34" s="154" t="s">
        <v>33</v>
      </c>
      <c r="D34" s="154"/>
      <c r="E34" s="154"/>
    </row>
    <row r="35" spans="1:5" x14ac:dyDescent="0.25">
      <c r="B35" s="4"/>
      <c r="C35" s="38"/>
      <c r="D35" s="38"/>
      <c r="E35" s="38"/>
    </row>
    <row r="36" spans="1:5" ht="94.5" customHeight="1" x14ac:dyDescent="0.25">
      <c r="A36" s="1">
        <v>14</v>
      </c>
      <c r="B36" s="156" t="s">
        <v>35</v>
      </c>
      <c r="C36" s="156"/>
      <c r="D36" s="156"/>
      <c r="E36" s="156"/>
    </row>
    <row r="37" spans="1:5" ht="14.25" customHeight="1" x14ac:dyDescent="0.25">
      <c r="B37" s="37"/>
      <c r="C37" s="37"/>
      <c r="D37" s="37"/>
      <c r="E37" s="37"/>
    </row>
    <row r="38" spans="1:5" ht="62.25" customHeight="1" x14ac:dyDescent="0.25">
      <c r="A38" s="1">
        <v>15</v>
      </c>
      <c r="B38" s="152" t="s">
        <v>654</v>
      </c>
      <c r="C38" s="152"/>
      <c r="D38" s="152"/>
      <c r="E38" s="152"/>
    </row>
    <row r="39" spans="1:5" x14ac:dyDescent="0.25">
      <c r="B39" s="2"/>
    </row>
    <row r="40" spans="1:5" x14ac:dyDescent="0.25">
      <c r="A40" s="155" t="s">
        <v>37</v>
      </c>
      <c r="B40" s="155"/>
      <c r="C40" s="155"/>
      <c r="D40" s="155"/>
      <c r="E40" s="155"/>
    </row>
  </sheetData>
  <sheetProtection password="EDC4" sheet="1" objects="1" scenarios="1"/>
  <mergeCells count="25">
    <mergeCell ref="A40:E40"/>
    <mergeCell ref="C32:E32"/>
    <mergeCell ref="C33:E33"/>
    <mergeCell ref="C34:E34"/>
    <mergeCell ref="B36:E36"/>
    <mergeCell ref="B38:E38"/>
    <mergeCell ref="C27:E27"/>
    <mergeCell ref="C28:E28"/>
    <mergeCell ref="C29:E29"/>
    <mergeCell ref="C30:E30"/>
    <mergeCell ref="C31:E31"/>
    <mergeCell ref="B8:E8"/>
    <mergeCell ref="B12:E12"/>
    <mergeCell ref="B14:E14"/>
    <mergeCell ref="B16:E16"/>
    <mergeCell ref="B1:E1"/>
    <mergeCell ref="B2:E2"/>
    <mergeCell ref="B4:E4"/>
    <mergeCell ref="B6:E6"/>
    <mergeCell ref="B10:E10"/>
    <mergeCell ref="B18:E18"/>
    <mergeCell ref="B20:E20"/>
    <mergeCell ref="B22:E22"/>
    <mergeCell ref="B24:E24"/>
    <mergeCell ref="B26:E26"/>
  </mergeCells>
  <pageMargins left="0.7" right="0.7" top="0.75" bottom="0.75" header="0.3" footer="0.3"/>
  <pageSetup scale="86" orientation="portrait" horizontalDpi="1200" verticalDpi="1200" r:id="rId1"/>
  <headerFooter>
    <oddHeader>&amp;L&amp;"-,Bold"&amp;12Federal Funds Ledger Notes&amp;RPrinted &amp;D</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Federal Funds Transactions</vt:lpstr>
      <vt:lpstr>Regional Loans and Transfers</vt:lpstr>
      <vt:lpstr>Notes</vt:lpstr>
      <vt:lpstr>'Federal Funds Transactions'!Print_Area</vt:lpstr>
      <vt:lpstr>'Federal Funds Transactions'!Print_Titles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Troy Keener</cp:lastModifiedBy>
  <cp:lastPrinted>2013-10-16T18:57:14Z</cp:lastPrinted>
  <dcterms:created xsi:type="dcterms:W3CDTF">2013-05-11T20:19:37Z</dcterms:created>
  <dcterms:modified xsi:type="dcterms:W3CDTF">2013-12-18T15:37:16Z</dcterms:modified>
</cp:coreProperties>
</file>