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tables/table5.xml" ContentType="application/vnd.openxmlformats-officedocument.spreadsheetml.table+xml"/>
  <Override PartName="/xl/queryTables/queryTable3.xml" ContentType="application/vnd.openxmlformats-officedocument.spreadsheetml.queryTable+xml"/>
  <Override PartName="/xl/tables/table6.xml" ContentType="application/vnd.openxmlformats-officedocument.spreadsheetml.table+xml"/>
  <Override PartName="/xl/queryTables/queryTable4.xml" ContentType="application/vnd.openxmlformats-officedocument.spreadsheetml.query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 yWindow="-12" windowWidth="15480" windowHeight="3612"/>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Transactions'!$A$1:$X$166</definedName>
    <definedName name="Query_from_MS_Access_Database" localSheetId="1" hidden="1">'Regional Loans and Transfers'!$A$11:$R$45</definedName>
    <definedName name="Query_from_MS_Access_Database_1" localSheetId="0" hidden="1">'Federal Funds Transactions'!$A$17:$V$150</definedName>
    <definedName name="Query_from_MS_Access_Database_1" localSheetId="1" hidden="1">'Regional Loans and Transfers'!$A$48:$R$76</definedName>
    <definedName name="Query_from_MS_Access_Database_2" localSheetId="0" hidden="1">'Federal Funds Transactions'!$A$155:$V$156</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W156" i="1" l="1"/>
  <c r="I156"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W18" i="1"/>
  <c r="X18" i="1" s="1"/>
  <c r="X19" i="1" s="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X20" i="1" l="1"/>
  <c r="X21" i="1" s="1"/>
  <c r="X22" i="1" s="1"/>
  <c r="X23" i="1" s="1"/>
  <c r="X24" i="1" s="1"/>
  <c r="X25" i="1" s="1"/>
  <c r="X26" i="1" s="1"/>
  <c r="X27" i="1" s="1"/>
  <c r="X28" i="1" s="1"/>
  <c r="X29" i="1" s="1"/>
  <c r="X30" i="1" s="1"/>
  <c r="X31" i="1" s="1"/>
  <c r="X32" i="1" s="1"/>
  <c r="X33" i="1" s="1"/>
  <c r="X34" i="1" s="1"/>
  <c r="X35" i="1" s="1"/>
  <c r="X36" i="1" s="1"/>
  <c r="X37" i="1" s="1"/>
  <c r="X38" i="1" s="1"/>
  <c r="X39" i="1" s="1"/>
  <c r="X40" i="1" s="1"/>
  <c r="X41" i="1" s="1"/>
  <c r="X42" i="1" s="1"/>
  <c r="X43" i="1" s="1"/>
  <c r="X44" i="1" s="1"/>
  <c r="X45" i="1" s="1"/>
  <c r="X46" i="1" s="1"/>
  <c r="X47" i="1" s="1"/>
  <c r="X48" i="1" s="1"/>
  <c r="X49" i="1" s="1"/>
  <c r="X50" i="1" s="1"/>
  <c r="X51" i="1" s="1"/>
  <c r="X52" i="1" s="1"/>
  <c r="X53" i="1" s="1"/>
  <c r="X54" i="1" s="1"/>
  <c r="X55" i="1" s="1"/>
  <c r="X56" i="1" s="1"/>
  <c r="X57" i="1" s="1"/>
  <c r="X58" i="1" s="1"/>
  <c r="X59" i="1" s="1"/>
  <c r="X60" i="1" s="1"/>
  <c r="X61" i="1" s="1"/>
  <c r="X62" i="1" s="1"/>
  <c r="X63" i="1" s="1"/>
  <c r="X64" i="1" s="1"/>
  <c r="X65" i="1" s="1"/>
  <c r="X66" i="1" s="1"/>
  <c r="X67" i="1" s="1"/>
  <c r="X68" i="1" s="1"/>
  <c r="X69" i="1" s="1"/>
  <c r="X70" i="1" s="1"/>
  <c r="X71" i="1" s="1"/>
  <c r="X72" i="1" s="1"/>
  <c r="X73" i="1" s="1"/>
  <c r="X74" i="1" s="1"/>
  <c r="X75" i="1" s="1"/>
  <c r="X76" i="1" s="1"/>
  <c r="X77" i="1" s="1"/>
  <c r="X78" i="1" s="1"/>
  <c r="X79" i="1" s="1"/>
  <c r="X80" i="1" s="1"/>
  <c r="X81" i="1" s="1"/>
  <c r="X82" i="1" s="1"/>
  <c r="X83" i="1" s="1"/>
  <c r="X84" i="1" s="1"/>
  <c r="X85" i="1" s="1"/>
  <c r="X86" i="1" s="1"/>
  <c r="X87" i="1" s="1"/>
  <c r="X88" i="1" s="1"/>
  <c r="X89" i="1" s="1"/>
  <c r="X90" i="1" s="1"/>
  <c r="X91" i="1" s="1"/>
  <c r="X92" i="1" s="1"/>
  <c r="X93" i="1" s="1"/>
  <c r="X94" i="1" s="1"/>
  <c r="X95" i="1" s="1"/>
  <c r="X96" i="1" s="1"/>
  <c r="X97" i="1" s="1"/>
  <c r="X98" i="1" s="1"/>
  <c r="X99" i="1" s="1"/>
  <c r="X100" i="1" s="1"/>
  <c r="X101" i="1" s="1"/>
  <c r="X102" i="1" s="1"/>
  <c r="X103" i="1" s="1"/>
  <c r="X104" i="1" s="1"/>
  <c r="X105" i="1" s="1"/>
  <c r="X106" i="1" s="1"/>
  <c r="X107" i="1" s="1"/>
  <c r="X108" i="1" s="1"/>
  <c r="X109" i="1" s="1"/>
  <c r="X110" i="1" s="1"/>
  <c r="X111" i="1" s="1"/>
  <c r="X112" i="1" s="1"/>
  <c r="X113" i="1" s="1"/>
  <c r="X114" i="1" s="1"/>
  <c r="X115" i="1" s="1"/>
  <c r="X116" i="1" s="1"/>
  <c r="X117" i="1" s="1"/>
  <c r="X118" i="1" s="1"/>
  <c r="X119" i="1" s="1"/>
  <c r="X120" i="1" s="1"/>
  <c r="X121" i="1" s="1"/>
  <c r="X122" i="1" s="1"/>
  <c r="X123" i="1" s="1"/>
  <c r="X124" i="1" s="1"/>
  <c r="X125" i="1" s="1"/>
  <c r="X126" i="1" s="1"/>
  <c r="X127" i="1" s="1"/>
  <c r="X128" i="1" s="1"/>
  <c r="X129" i="1" s="1"/>
  <c r="X130" i="1" s="1"/>
  <c r="X131" i="1" s="1"/>
  <c r="X132" i="1" s="1"/>
  <c r="X133" i="1" s="1"/>
  <c r="X134" i="1" s="1"/>
  <c r="X135" i="1" s="1"/>
  <c r="X136" i="1" s="1"/>
  <c r="X137" i="1" s="1"/>
  <c r="X138" i="1" s="1"/>
  <c r="X139" i="1" s="1"/>
  <c r="X140" i="1" s="1"/>
  <c r="X141" i="1" s="1"/>
  <c r="X142" i="1" s="1"/>
  <c r="X143" i="1" s="1"/>
  <c r="X144" i="1" s="1"/>
  <c r="X145" i="1" s="1"/>
  <c r="X146" i="1" s="1"/>
  <c r="X147" i="1" s="1"/>
  <c r="X148" i="1" s="1"/>
  <c r="X149" i="1" s="1"/>
  <c r="X150" i="1" s="1"/>
  <c r="X156" i="1" s="1"/>
  <c r="X163" i="1" s="1"/>
  <c r="X166" i="1" s="1"/>
  <c r="X11" i="1"/>
  <c r="T4" i="1" l="1"/>
  <c r="T5" i="1"/>
  <c r="S6" i="1" l="1"/>
  <c r="X12" i="1"/>
  <c r="V12" i="1"/>
  <c r="U12" i="1"/>
  <c r="T12" i="1"/>
  <c r="S12" i="1"/>
  <c r="R12" i="1"/>
  <c r="Q12" i="1"/>
  <c r="P12" i="1"/>
  <c r="O12" i="1"/>
  <c r="N12" i="1"/>
  <c r="V11" i="1"/>
  <c r="U11" i="1"/>
  <c r="T11" i="1"/>
  <c r="S11" i="1"/>
  <c r="R11" i="1"/>
  <c r="Q11" i="1"/>
  <c r="P11" i="1"/>
  <c r="O11" i="1"/>
  <c r="N11" i="1"/>
  <c r="X10" i="1"/>
  <c r="V10" i="1"/>
  <c r="U10" i="1"/>
  <c r="T10" i="1"/>
  <c r="S10" i="1"/>
  <c r="R10" i="1"/>
  <c r="Q10" i="1"/>
  <c r="P10" i="1"/>
  <c r="O10" i="1"/>
  <c r="N10" i="1"/>
  <c r="X9" i="1"/>
  <c r="V9" i="1"/>
  <c r="U9" i="1"/>
  <c r="T9" i="1"/>
  <c r="S9" i="1"/>
  <c r="R9" i="1"/>
  <c r="Q9" i="1"/>
  <c r="P9" i="1"/>
  <c r="O9" i="1"/>
  <c r="N9" i="1"/>
  <c r="X8" i="1"/>
  <c r="V8" i="1"/>
  <c r="U8" i="1"/>
  <c r="T8" i="1"/>
  <c r="S8" i="1"/>
  <c r="R8" i="1"/>
  <c r="Q8" i="1"/>
  <c r="P8" i="1"/>
  <c r="O8" i="1"/>
  <c r="N8" i="1"/>
  <c r="X7" i="1"/>
  <c r="V7" i="1"/>
  <c r="U7" i="1"/>
  <c r="T7" i="1"/>
  <c r="S7" i="1"/>
  <c r="R7" i="1"/>
  <c r="Q7" i="1"/>
  <c r="P7" i="1"/>
  <c r="O7" i="1"/>
  <c r="N7" i="1"/>
  <c r="R6" i="1" l="1"/>
  <c r="U6" i="1" l="1"/>
  <c r="D85" i="3" l="1"/>
  <c r="D83" i="3"/>
  <c r="E89" i="3" l="1"/>
  <c r="D89" i="3" l="1"/>
  <c r="D10" i="2" l="1"/>
  <c r="D12" i="2"/>
  <c r="D11" i="2" l="1"/>
  <c r="D13" i="2" s="1"/>
  <c r="X164" i="1"/>
  <c r="U164" i="1"/>
  <c r="S164" i="1"/>
  <c r="R164" i="1"/>
  <c r="Q164" i="1"/>
  <c r="P164" i="1"/>
  <c r="V165" i="1" l="1"/>
  <c r="T165" i="1"/>
  <c r="O165" i="1"/>
  <c r="N165" i="1"/>
  <c r="R165" i="1" l="1"/>
  <c r="W164" i="1" l="1"/>
  <c r="B5" i="3"/>
  <c r="W5" i="1" l="1"/>
  <c r="W6" i="1"/>
  <c r="X6" i="1" s="1"/>
  <c r="W13" i="1"/>
  <c r="W4" i="1"/>
  <c r="O157" i="1" l="1"/>
  <c r="P157" i="1"/>
  <c r="Q157" i="1"/>
  <c r="R157" i="1"/>
  <c r="S157" i="1"/>
  <c r="T157" i="1"/>
  <c r="U157" i="1"/>
  <c r="V157" i="1"/>
  <c r="N157" i="1"/>
  <c r="O151" i="1"/>
  <c r="P151" i="1"/>
  <c r="Q151" i="1"/>
  <c r="R151" i="1"/>
  <c r="S151" i="1"/>
  <c r="T151" i="1"/>
  <c r="U151" i="1"/>
  <c r="V151" i="1"/>
  <c r="N151" i="1"/>
  <c r="O14" i="1" l="1"/>
  <c r="O152" i="1" s="1"/>
  <c r="O158" i="1" s="1"/>
  <c r="O166" i="1" s="1"/>
  <c r="T14" i="1"/>
  <c r="T152" i="1" s="1"/>
  <c r="T158" i="1" s="1"/>
  <c r="T166" i="1" s="1"/>
  <c r="U14" i="1"/>
  <c r="U152" i="1" s="1"/>
  <c r="U158" i="1" s="1"/>
  <c r="U163" i="1" s="1"/>
  <c r="U165" i="1" s="1"/>
  <c r="V14" i="1"/>
  <c r="V152" i="1" s="1"/>
  <c r="V158" i="1" s="1"/>
  <c r="V166" i="1" s="1"/>
  <c r="N14" i="1"/>
  <c r="N152" i="1" s="1"/>
  <c r="N158" i="1" s="1"/>
  <c r="N166" i="1" s="1"/>
  <c r="W151" i="1"/>
  <c r="U166" i="1" l="1"/>
  <c r="Q14" i="1" l="1"/>
  <c r="Q152" i="1" s="1"/>
  <c r="Q158" i="1" s="1"/>
  <c r="A7" i="3"/>
  <c r="Q163" i="1" l="1"/>
  <c r="Q165" i="1" s="1"/>
  <c r="Q166" i="1" l="1"/>
  <c r="W10" i="1"/>
  <c r="P14" i="1"/>
  <c r="W7" i="1"/>
  <c r="W11" i="1"/>
  <c r="S14" i="1"/>
  <c r="S152" i="1" s="1"/>
  <c r="S158" i="1" s="1"/>
  <c r="W8" i="1"/>
  <c r="W12" i="1"/>
  <c r="X14" i="1"/>
  <c r="R14" i="1"/>
  <c r="R152" i="1" s="1"/>
  <c r="R158" i="1" s="1"/>
  <c r="W9" i="1"/>
  <c r="W14" i="1" l="1"/>
  <c r="S163" i="1"/>
  <c r="S165" i="1" s="1"/>
  <c r="S166" i="1" l="1"/>
  <c r="W152" i="1" l="1"/>
  <c r="A1" i="3" l="1"/>
  <c r="P152" i="1" l="1"/>
  <c r="P158" i="1" l="1"/>
  <c r="P163" i="1" s="1"/>
  <c r="P165" i="1" s="1"/>
  <c r="W165" i="1" s="1"/>
  <c r="P166" i="1" l="1"/>
  <c r="W166" i="1" s="1"/>
  <c r="W163" i="1"/>
  <c r="X165" i="1" l="1"/>
  <c r="W157" i="1"/>
  <c r="W158"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4-MAG LEDGER`.`ADOT#`, `04-MAG LEDGER`.`TIP#`, `04-MAG LEDGER`.Sponsor, `04-MAG LEDGER`.`Action/15`, `04-MAG LEDGER`.Location, `04-MAG LEDGER`.RTE, `04-MAG LEDGER`.SEC, `04-MAG LEDGER`.SEQ, `04-MAG LEDGER`.`PB Expected`, `04-MAG LEDGER`.`PB Received`, `04-MAG LEDGER`.`PF Transmitted`, `04-MAG LEDGER`.`Finance Authorization`, `04-MAG LEDGER`.CMAQ, `04-MAG LEDGER`.`CMAQ 2_5`, `04-MAG LEDGER`.HSIP, `04-MAG LEDGER`.PL, `04-MAG LEDGER`.SPR, `04-MAG LEDGER`.`STP OTHER`, `04-MAG LEDGER`.`STP OVER 200K`, `04-MAG LEDGER`.`TA OTHER`, `04-MAG LEDGER`.`TA OVER 200K`_x000d__x000a_FROM `G:\FMS\RESOURCE\ACCESS\010614 PBPF\011614 PBPF front.accdb`.`04-MAG LEDGER` `04-MAG LEDGER`_x000d__x000a_WHERE (`04-MAG LEDGER`.`ADOT#` Not Like 'TRICK') AND (`04-MAG LEDGER`.`Finance Authorization`&gt;=#10/1/2016# AND `04-MAG LEDGER`.`Finance Authorization`&lt;=#9/30/2017#)_x000d__x000a_ORDER BY `04-M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4-MAGqryLedgerApportsCrosstab`.`Transaction Year`, `04-MAGqryLedgerApportsCrosstab`.`Transaction Type`, `04-MAGqryLedgerApportsCrosstab`.Number, `04-MAGqryLedgerApportsCrosstab`.`From`, `04-MAGqryLedgerApportsCrosstab`.To, `04-MAGqryLedgerApportsCrosstab`.`Repayment Year`, `04-MAGqryLedgerApportsCrosstab`.Project8, `04-MAGqryLedgerApportsCrosstab`.Notes, `04-MAGqryLedgerApportsCrosstab`.Total, `04-MAGqryLedgerApportsCrosstab`.CMAQ, `04-MAGqryLedgerApportsCrosstab`.`CMAQ 2_5`, `04-MAGqryLedgerApportsCrosstab`.HSIP, `04-MAGqryLedgerApportsCrosstab`.PL, `04-MAGqryLedgerApportsCrosstab`.SPR, `04-MAGqryLedgerApportsCrosstab`.`STP other`, `04-MAGqryLedgerApportsCrosstab`.`STP over 200K`, `04-MAGqryLedgerApportsCrosstab`.`TA other`, `04-MAGqryLedgerApportsCrosstab`.`TA over 200K`_x000d__x000a_FROM `G:\FMS\RESOURCE\ACCESS\010614 PBPF\011614 PBPF front.accdb`.`04-MAGqryLedgerApportsCrosstab` `04-MAGqryLedgerApportsCrosstab`_x000d__x000a_WHERE (`04-M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4-MAGqryLedgerOACrosstab`.`Transaction Year`, `04-MAGqryLedgerOACrosstab`.`Transaction Type`, `04-MAGqryLedgerOACrosstab`.Number, `04-MAGqryLedgerOACrosstab`.`From`, `04-MAGqryLedgerOACrosstab`.To, `04-MAGqryLedgerOACrosstab`.`Repayment Year`, `04-MAGqryLedgerOACrosstab`.Project8, `04-MAGqryLedgerOACrosstab`.Notes, `04-MAGqryLedgerOACrosstab`.Total, `04-MAGqryLedgerOACrosstab`.CMAQ, `04-MAGqryLedgerOACrosstab`.`CMAQ 2_5`, `04-MAGqryLedgerOACrosstab`.HSIP, `04-MAGqryLedgerOACrosstab`.PL, `04-MAGqryLedgerOACrosstab`.SPR, `04-MAGqryLedgerOACrosstab`.`STP other`, `04-MAGqryLedgerOACrosstab`.`STP over 200K`, `04-MAGqryLedgerOACrosstab`.`TA other`, `04-MAGqryLedgerOACrosstab`.`TA over 200K`_x000d__x000a_FROM `G:\FMS\RESOURCE\ACCESS\010614 PBPF\011614 PBPF front.accdb`.`04-MAGqryLedgerOACrosstab` `04-MAGqryLedgerOACrosstab`_x000d__x000a_WHERE (`04-M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4-MAG LEDGER`.`ADOT#`, `04-MAG LEDGER`.`TIP#`, `04-MAG LEDGER`.Sponsor, `04-MAG LEDGER`.`Action/15`, `04-MAG LEDGER`.Location, `04-MAG LEDGER`.RTE, `04-MAG LEDGER`.SEC, `04-MAG LEDGER`.SEQ, `04-MAG LEDGER`.`PB Expected`, `04-MAG LEDGER`.`PB Received`, `04-MAG LEDGER`.`PF Transmitted`, `04-MAG LEDGER`.`Finance Authorization`, `04-MAG LEDGER`.CMAQ, `04-MAG LEDGER`.`CMAQ 2_5`, `04-MAG LEDGER`.HSIP, `04-MAG LEDGER`.PL, `04-MAG LEDGER`.SPR, `04-MAG LEDGER`.`STP OTHER`, `04-MAG LEDGER`.`STP OVER 200K`, `04-MAG LEDGER`.`TA OTHER`, `04-MAG LEDGER`.`TA OVER 200K`_x000d__x000a_FROM `G:\FMS\RESOURCE\ACCESS\010614 PBPF\011614 PBPF front.accdb`.`04-MAG LEDGER` `04-MAG LEDGER`_x000d__x000a_WHERE (`04-MAG LEDGER`.`ADOT#` Not Like 'Trick') AND (`04-MAG LEDGER`.`Finance Authorization` Is Null) AND (`04-MAG LEDGER`.`Action/15` Not Like 'Reduce AC') AND ((`04-MAG LEDGER`.`PB Expected`&gt;=#10/1/2016# and `PB Expected`&lt;=#9/30/2017#) OR (`04-MAG LEDGER`.`PB Received`&gt;=#10/1/2016# and `PB Received`&lt;=#9/30/2017#) OR (`04-MAG LEDGER`.`PF Transmitted`&gt;=#10/1/2016# and `PF Transmitted`&lt;=#9/30/2017#))_x000d__x000a_ORDER BY `04-MAG LEDGER`.`ADOT#`"/>
  </connection>
</connections>
</file>

<file path=xl/sharedStrings.xml><?xml version="1.0" encoding="utf-8"?>
<sst xmlns="http://schemas.openxmlformats.org/spreadsheetml/2006/main" count="1739" uniqueCount="647">
  <si>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</si>
  <si>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</si>
  <si>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</si>
  <si>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</si>
  <si>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</si>
  <si>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</si>
  <si>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</si>
  <si>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</si>
  <si>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</si>
  <si>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</si>
  <si>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</si>
  <si>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</si>
  <si>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</si>
  <si>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</si>
  <si>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</si>
  <si>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</si>
  <si>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</si>
  <si>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</si>
  <si>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</si>
  <si>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</si>
  <si>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</si>
  <si>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</si>
  <si>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</si>
  <si>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</si>
  <si>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</si>
  <si>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</si>
  <si>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</si>
  <si>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</si>
  <si>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</si>
  <si>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</si>
  <si>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</si>
  <si>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</si>
  <si>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</si>
  <si>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</si>
  <si>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</si>
  <si>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</si>
  <si>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</si>
  <si>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</si>
  <si>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</si>
  <si>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</si>
  <si>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</si>
  <si>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</si>
  <si>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</si>
  <si>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</si>
  <si>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</si>
  <si>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</si>
  <si>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STP over 200K</t>
  </si>
  <si>
    <t>TA other</t>
  </si>
  <si>
    <t>TA over 200K</t>
  </si>
  <si>
    <t>Transaction Year</t>
  </si>
  <si>
    <t>Transaction Type</t>
  </si>
  <si>
    <t>Repayment Year</t>
  </si>
  <si>
    <t>MAG</t>
  </si>
  <si>
    <t>RTE</t>
  </si>
  <si>
    <t>SEC</t>
  </si>
  <si>
    <t>SEQ</t>
  </si>
  <si>
    <t>PB Expected</t>
  </si>
  <si>
    <t>PB Received</t>
  </si>
  <si>
    <t>PF Transmitted</t>
  </si>
  <si>
    <t>Finance Authorization</t>
  </si>
  <si>
    <t>STP OTHER</t>
  </si>
  <si>
    <t>FED #</t>
  </si>
  <si>
    <t>EXPECTED DECLINING BALANCE OA</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</si>
  <si>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</si>
  <si>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</si>
  <si>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</si>
  <si>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</si>
  <si>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</si>
  <si>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</si>
  <si>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</si>
  <si>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 6</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</si>
  <si>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</si>
  <si>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</si>
  <si>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</si>
  <si>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</si>
  <si>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</si>
  <si>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</si>
  <si>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</si>
  <si>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</si>
  <si>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</si>
  <si>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</si>
  <si>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</si>
  <si>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</si>
  <si>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</si>
  <si>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</si>
  <si>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</si>
  <si>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</si>
  <si>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</si>
  <si>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</si>
  <si>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</si>
  <si>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</si>
  <si>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</si>
  <si>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</si>
  <si>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</si>
  <si>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Repayment Out</t>
  </si>
  <si>
    <t>Transfer In</t>
  </si>
  <si>
    <t>TOTAL OF AMOUNT</t>
  </si>
  <si>
    <t>From</t>
  </si>
  <si>
    <t>To</t>
  </si>
  <si>
    <t>Project8</t>
  </si>
  <si>
    <t>Notes</t>
  </si>
  <si>
    <t>DECLINING BALANCE OA</t>
  </si>
  <si>
    <t>Maricopa Association of Goverments</t>
  </si>
  <si>
    <t>STP OVER 200K</t>
  </si>
  <si>
    <t>TA OTHER</t>
  </si>
  <si>
    <t>TA OVER 200K</t>
  </si>
  <si>
    <t>0</t>
  </si>
  <si>
    <t>PHOENIX</t>
  </si>
  <si>
    <t>PHX</t>
  </si>
  <si>
    <t>ADOT</t>
  </si>
  <si>
    <t>Loan In</t>
  </si>
  <si>
    <t>2013</t>
  </si>
  <si>
    <t>MAG005</t>
  </si>
  <si>
    <t>2014</t>
  </si>
  <si>
    <t>2013 ADOT LOAN OF SPR FUNDS TO MAG</t>
  </si>
  <si>
    <t>SEAGO001</t>
  </si>
  <si>
    <t>SEAGO</t>
  </si>
  <si>
    <t>2013 STP Loan from SEAGO</t>
  </si>
  <si>
    <t>CAG-T001</t>
  </si>
  <si>
    <t>CAG</t>
  </si>
  <si>
    <t>None</t>
  </si>
  <si>
    <t>STP Transfer from CAG for Maricopa Casa Grande Hwy MAR 12-01C</t>
  </si>
  <si>
    <t>MAG001</t>
  </si>
  <si>
    <t>SS917</t>
  </si>
  <si>
    <t>2013 HSIP ADOT TRANSFER TO MAG</t>
  </si>
  <si>
    <t>MAG002</t>
  </si>
  <si>
    <t>SH535</t>
  </si>
  <si>
    <t>MAG003</t>
  </si>
  <si>
    <t>SH536</t>
  </si>
  <si>
    <t>MAG004</t>
  </si>
  <si>
    <t>SH538</t>
  </si>
  <si>
    <t>2014 REPAYMENT OF SPR FUNDS TO ADOT</t>
  </si>
  <si>
    <t>2015</t>
  </si>
  <si>
    <t>STP Loan repayment to SEAGO</t>
  </si>
  <si>
    <t>CHANDLER</t>
  </si>
  <si>
    <t>CHN</t>
  </si>
  <si>
    <t>MMA</t>
  </si>
  <si>
    <t>TEMPE</t>
  </si>
  <si>
    <t>TMP</t>
  </si>
  <si>
    <t>212</t>
  </si>
  <si>
    <t xml:space="preserve">MARICOPA COUNTY               </t>
  </si>
  <si>
    <t>NACOG14-L001</t>
  </si>
  <si>
    <t>NACOG</t>
  </si>
  <si>
    <t>2016-2019</t>
  </si>
  <si>
    <t>FY 14 LOAN FROM NACOG TO MAG</t>
  </si>
  <si>
    <t>2016</t>
  </si>
  <si>
    <t>2017</t>
  </si>
  <si>
    <t>2018</t>
  </si>
  <si>
    <t>2019</t>
  </si>
  <si>
    <t>GANS DEBT SERVICE</t>
  </si>
  <si>
    <t>PROJECT 8</t>
  </si>
  <si>
    <t>GAN YEAR</t>
  </si>
  <si>
    <t>FUNDING TYPE</t>
  </si>
  <si>
    <t>OA Amount</t>
  </si>
  <si>
    <t>H538101X</t>
  </si>
  <si>
    <t>N/A</t>
  </si>
  <si>
    <t>H591101X</t>
  </si>
  <si>
    <t>H591201X</t>
  </si>
  <si>
    <t>URBAN STP</t>
  </si>
  <si>
    <t xml:space="preserve"> APPORTIONMENT_AMOUNT </t>
  </si>
  <si>
    <r>
      <rPr>
        <b/>
        <sz val="9"/>
        <color rgb="FFFF0000"/>
        <rFont val="Arial Unicode MS"/>
        <family val="2"/>
      </rPr>
      <t xml:space="preserve">IMPORTANT! </t>
    </r>
    <r>
      <rPr>
        <sz val="9"/>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</si>
  <si>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</si>
  <si>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r>
      <rPr>
        <b/>
        <sz val="11"/>
        <color rgb="FFFF0000"/>
        <rFont val="Arial Unicode MS"/>
        <family val="2"/>
      </rPr>
      <t xml:space="preserve">DRAFT </t>
    </r>
    <r>
      <rPr>
        <sz val="11"/>
        <color theme="1"/>
        <rFont val="Arial Unicode MS"/>
        <family val="2"/>
      </rPr>
      <t>Data as of:</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</si>
  <si>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</si>
  <si>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Lapsing</t>
  </si>
  <si>
    <t>MAG-LP01</t>
  </si>
  <si>
    <t>MAG LAPSING FUNDS - FFY14</t>
  </si>
  <si>
    <t>Loan Out</t>
  </si>
  <si>
    <t>MAG-L001</t>
  </si>
  <si>
    <t>MAG OA LOAN TO ADOT - FFY14</t>
  </si>
  <si>
    <t>Repayment In</t>
  </si>
  <si>
    <t>MAG-L002</t>
  </si>
  <si>
    <t>ADOT APPORTIONMENT LOAN TO MAG - FFY 14</t>
  </si>
  <si>
    <t>PEORIA</t>
  </si>
  <si>
    <t>PE0</t>
  </si>
  <si>
    <t>208</t>
  </si>
  <si>
    <t>BUCKEYE</t>
  </si>
  <si>
    <t>BKY</t>
  </si>
  <si>
    <t>SIGN MGMT SYSTEM/SIGN UPGRADE</t>
  </si>
  <si>
    <t>245</t>
  </si>
  <si>
    <t>DEBT SERVICE BILLING (INTEREST) 01/2016</t>
  </si>
  <si>
    <t>DEBT SERVICE BILLING (INTEREST) 07/2016</t>
  </si>
  <si>
    <t>DEBT SERVICE BILLING (PRINCIPAL) 07/2016</t>
  </si>
  <si>
    <t>*Note, MAG was only able to authorize $187,500 for FY16 Work Program in FFY15.</t>
  </si>
  <si>
    <t>TBD</t>
  </si>
  <si>
    <t>244</t>
  </si>
  <si>
    <t>888</t>
  </si>
  <si>
    <t>215</t>
  </si>
  <si>
    <t>GOODYEAR</t>
  </si>
  <si>
    <t>GDY</t>
  </si>
  <si>
    <t>AVONDALE</t>
  </si>
  <si>
    <t>AVN</t>
  </si>
  <si>
    <t>Remaining SAFETEA-LU  apportionments (no OA)</t>
  </si>
  <si>
    <t>MAG Debt Service - Est</t>
  </si>
  <si>
    <t>223</t>
  </si>
  <si>
    <t>GLENDALE</t>
  </si>
  <si>
    <t>GLN</t>
  </si>
  <si>
    <t>239</t>
  </si>
  <si>
    <t>SCOTTSDALE</t>
  </si>
  <si>
    <t>SCT</t>
  </si>
  <si>
    <t>EAGLE COLLEGE PREP; SOUTH MOUNTAIN, HARMONY, MESA, MARYVALE</t>
  </si>
  <si>
    <t>Planned Lapsing - 06/30/16</t>
  </si>
  <si>
    <t>Lapsed - 07/01/16</t>
  </si>
  <si>
    <t>Planned Lapsing - 09/30/16</t>
  </si>
  <si>
    <t>Carry Forward to FFY 17</t>
  </si>
  <si>
    <t>221</t>
  </si>
  <si>
    <t>224</t>
  </si>
  <si>
    <t>Current FFY
Apportionments /5 /18</t>
  </si>
  <si>
    <t>Per the adopted MAG Regional Transportation Plan of November 25, 2003, 19% of CMAQ funding is intended to be used on Freeways.</t>
  </si>
  <si>
    <t>SCMPOMAG-16L1</t>
  </si>
  <si>
    <t>SUNMPO</t>
  </si>
  <si>
    <t>SCMPO STP Loan to MAG</t>
  </si>
  <si>
    <t>SVMPOMAG-16L1</t>
  </si>
  <si>
    <t>SVMPO</t>
  </si>
  <si>
    <t>SVMPO HSIP/STP Loan to MAG</t>
  </si>
  <si>
    <t>248</t>
  </si>
  <si>
    <t>249</t>
  </si>
  <si>
    <t>Transfer Out</t>
  </si>
  <si>
    <t>MAG16-T001</t>
  </si>
  <si>
    <t>H882701C</t>
  </si>
  <si>
    <t>MAG Urban STP Transfer to ADOT</t>
  </si>
  <si>
    <t>PHX17-421</t>
  </si>
  <si>
    <t>BKY14-403</t>
  </si>
  <si>
    <t>204</t>
  </si>
  <si>
    <t>SS91401C</t>
  </si>
  <si>
    <t>CHN110-09C / CHN16-109CZ</t>
  </si>
  <si>
    <t>ALMA SCHOOL ROAD/ CHANDLER BLVD</t>
  </si>
  <si>
    <t>SZ09103D</t>
  </si>
  <si>
    <t>MMA14-112DZ/MMA15-112DZ/MMA16-112DZ</t>
  </si>
  <si>
    <t>SZ10601C</t>
  </si>
  <si>
    <t>GLN16-403</t>
  </si>
  <si>
    <t>55TH AVENUE WIDENING FOR BIKE LANE</t>
  </si>
  <si>
    <t>SZ14201C</t>
  </si>
  <si>
    <t>GLN17-401</t>
  </si>
  <si>
    <t>MARYLAND AVENUE: 95TH AVENUE LA</t>
  </si>
  <si>
    <t>SZ14301C</t>
  </si>
  <si>
    <t>GLN16-402</t>
  </si>
  <si>
    <t>GLENDALE DATA COLLECTION, VARIOUS LOCATIONS</t>
  </si>
  <si>
    <t>SZ16601C</t>
  </si>
  <si>
    <t>NORTH RURAL ROAD, TEMPE</t>
  </si>
  <si>
    <t>240</t>
  </si>
  <si>
    <t>SZ16901C</t>
  </si>
  <si>
    <t>PEO16-401</t>
  </si>
  <si>
    <t>222</t>
  </si>
  <si>
    <t>T000401C</t>
  </si>
  <si>
    <t>LPK17-401</t>
  </si>
  <si>
    <t>LITCHFIELD PARK</t>
  </si>
  <si>
    <t>LPK</t>
  </si>
  <si>
    <t>T000901C</t>
  </si>
  <si>
    <t>AVN16-410</t>
  </si>
  <si>
    <t>T000901D</t>
  </si>
  <si>
    <t>AVN17-470</t>
  </si>
  <si>
    <t>T001001D</t>
  </si>
  <si>
    <t>T002501C</t>
  </si>
  <si>
    <t>TMP17-404</t>
  </si>
  <si>
    <t>HIGHLINE CANAL SUP - AVE DEL YAQUI TO CITY LIMIT CHANDLER CITY</t>
  </si>
  <si>
    <t>T003401C</t>
  </si>
  <si>
    <t>AVN16-409</t>
  </si>
  <si>
    <t>MCDOWELL RD - DYSART TO AVONDALE BLVD</t>
  </si>
  <si>
    <t>247</t>
  </si>
  <si>
    <t>SZ14101C</t>
  </si>
  <si>
    <t>GLN16-401</t>
  </si>
  <si>
    <t>OLIVE, NORTHERN &amp; 51ST AVENUES</t>
  </si>
  <si>
    <t>Federal Fiscal Year 2017</t>
  </si>
  <si>
    <t>H867401C</t>
  </si>
  <si>
    <t>MAG REGIONWIDE DESIGN FMS REHABILITATION</t>
  </si>
  <si>
    <t>A</t>
  </si>
  <si>
    <t>220</t>
  </si>
  <si>
    <t>MAGFTA17</t>
  </si>
  <si>
    <t>MAG17-480</t>
  </si>
  <si>
    <t>MAG CMAQ TO FTA</t>
  </si>
  <si>
    <t>999</t>
  </si>
  <si>
    <t>SH63501C</t>
  </si>
  <si>
    <t>GLN17-402</t>
  </si>
  <si>
    <t>59TH AND OLIVE AVENUES</t>
  </si>
  <si>
    <t>246</t>
  </si>
  <si>
    <t>SH63601C</t>
  </si>
  <si>
    <t>PED COUNTDOWN SIG HEADS/ APS/ SIGNA</t>
  </si>
  <si>
    <t>SL73901C</t>
  </si>
  <si>
    <t>GLN17-403</t>
  </si>
  <si>
    <t>65TH AVENUE &amp; BETHANY HOME ROAD</t>
  </si>
  <si>
    <t>250</t>
  </si>
  <si>
    <t>210</t>
  </si>
  <si>
    <t>SZ12501C</t>
  </si>
  <si>
    <t>MMA15-434C2</t>
  </si>
  <si>
    <t xml:space="preserve">NEW RIVER AREA PM-10 PAVING, PHASE 2              </t>
  </si>
  <si>
    <t>252</t>
  </si>
  <si>
    <t>SZ12601C</t>
  </si>
  <si>
    <t>MMA17-403</t>
  </si>
  <si>
    <t xml:space="preserve">10TH ST/DOVE VALLEY RD LVR PAVING                 </t>
  </si>
  <si>
    <t>253</t>
  </si>
  <si>
    <t>SZ12701C</t>
  </si>
  <si>
    <t>MMA17-404</t>
  </si>
  <si>
    <t xml:space="preserve">31ST AVE/OLNEY AVE/44TH AVE LVR PAVING            </t>
  </si>
  <si>
    <t>254</t>
  </si>
  <si>
    <t>SZ14701C</t>
  </si>
  <si>
    <t>PNL15-410</t>
  </si>
  <si>
    <t>PINAL CO-MAG</t>
  </si>
  <si>
    <t>MIDWAY RD: GILA BEND</t>
  </si>
  <si>
    <t>PPN</t>
  </si>
  <si>
    <t>211</t>
  </si>
  <si>
    <t>SZ17501C</t>
  </si>
  <si>
    <t>PHX17-418</t>
  </si>
  <si>
    <t>107TH AVE: CAMELBACK ROAD- INDIAN</t>
  </si>
  <si>
    <t>301</t>
  </si>
  <si>
    <t>T009701X</t>
  </si>
  <si>
    <t>PHX16-435</t>
  </si>
  <si>
    <t>T009801X</t>
  </si>
  <si>
    <t>PHX17-470</t>
  </si>
  <si>
    <t>CREIGHTON SCHOOL DISTRICT/BILTMORE PREPARATORY</t>
  </si>
  <si>
    <t>T010001C</t>
  </si>
  <si>
    <t>SCT17-401</t>
  </si>
  <si>
    <t>VAR LOCATIONS - SCOTTSDALE TRAFFIC CABINET UPGRADE</t>
  </si>
  <si>
    <t>State FY 17 Approved work program amount</t>
  </si>
  <si>
    <t>State FY 17 amount authorized prior to 09/30/16 or Lapsed FY16 funding</t>
  </si>
  <si>
    <t xml:space="preserve">State FY 17 amount available for authorization 10/01/16 - 06/30/17 </t>
  </si>
  <si>
    <t>State FY 18 amount avaiilable for authorization 07/1/17 - 09/30/17 (request must be submitted by 06/30/17)</t>
  </si>
  <si>
    <t>Total SPR apportionments for Federal Fiscal Year 17 (as shown on ledger)</t>
  </si>
  <si>
    <t>CHN18-113DZ</t>
  </si>
  <si>
    <t>MARICOPA</t>
  </si>
  <si>
    <t>CHANDLER HEIGHTS ROAD: MCQUEEN ROAD TO GILBERT RD</t>
  </si>
  <si>
    <t>FOUNTAIN HILLS</t>
  </si>
  <si>
    <t>FTH</t>
  </si>
  <si>
    <t>VARIOUS LOCATIONS: QUARTER SECTIONS 27-19, 27-20, 27-25, 28-19</t>
  </si>
  <si>
    <t>PHX17-471</t>
  </si>
  <si>
    <t>CREIGHTON ELEMENTARY</t>
  </si>
  <si>
    <t>PHX17-472</t>
  </si>
  <si>
    <t>VISTA DEL SUR</t>
  </si>
  <si>
    <t>SZ05701C</t>
  </si>
  <si>
    <t>MES12-814</t>
  </si>
  <si>
    <t>MESA</t>
  </si>
  <si>
    <t>CITY OF MESA-SOUTHERN AVE; LONGMORE TO ALMA SCHOOL</t>
  </si>
  <si>
    <t>MES</t>
  </si>
  <si>
    <t>225</t>
  </si>
  <si>
    <t>SZ18701C</t>
  </si>
  <si>
    <t>SUR17-401</t>
  </si>
  <si>
    <t>SURPRISE</t>
  </si>
  <si>
    <t>SUR</t>
  </si>
  <si>
    <t>T010101X</t>
  </si>
  <si>
    <t>GLN17-470</t>
  </si>
  <si>
    <t>MMA17-470</t>
  </si>
  <si>
    <t>VARIOUS LOCATIONS - WALK N ROLLERS SRTS FY17</t>
  </si>
  <si>
    <t>T011901D</t>
  </si>
  <si>
    <t>GLN19-401</t>
  </si>
  <si>
    <t>VAR LOCATIONS - CITY OF GLENDALE FYA PHASE III</t>
  </si>
  <si>
    <t>SZ15201C</t>
  </si>
  <si>
    <t>MAR15-407</t>
  </si>
  <si>
    <t>HARTMAN RD; MARICOPA-CG HWY TO 1.5 MI NORTH</t>
  </si>
  <si>
    <t>MAR</t>
  </si>
  <si>
    <t>203</t>
  </si>
  <si>
    <t>P</t>
  </si>
  <si>
    <t>017</t>
  </si>
  <si>
    <t>H880901C</t>
  </si>
  <si>
    <t>ADOT TIP 4176/MAG TIP DOT 16-463/43616</t>
  </si>
  <si>
    <t>MAG Regionwide FMS Rehabilitation</t>
  </si>
  <si>
    <t>PMG1706P</t>
  </si>
  <si>
    <t>MAG 2017 WORK PROGRAM</t>
  </si>
  <si>
    <t>c</t>
  </si>
  <si>
    <t>Sign Management System/Updgrade, Phase 4</t>
  </si>
  <si>
    <t>PMG1701P</t>
  </si>
  <si>
    <t>S</t>
  </si>
  <si>
    <t>PMG1702P</t>
  </si>
  <si>
    <t>T004901X</t>
  </si>
  <si>
    <t>Dysart Schools SRTS Map update - Various locs</t>
  </si>
  <si>
    <t>229</t>
  </si>
  <si>
    <t>SH48801C</t>
  </si>
  <si>
    <t>CITY OF PHOENIX CITY STREETS</t>
  </si>
  <si>
    <t>265</t>
  </si>
  <si>
    <t>SH54701C</t>
  </si>
  <si>
    <t>CHN12-118C2</t>
  </si>
  <si>
    <t>CITY OF CHANDLER, VARIOUS LOCATIONS,SIGN UPGRADE</t>
  </si>
  <si>
    <t>226</t>
  </si>
  <si>
    <t>SH54703D</t>
  </si>
  <si>
    <t>CHN12-118</t>
  </si>
  <si>
    <t>SH55601C</t>
  </si>
  <si>
    <t>SCT13-121</t>
  </si>
  <si>
    <t>VARIOUS LOCATIONS SCOTTSDALE</t>
  </si>
  <si>
    <t>SH55603D</t>
  </si>
  <si>
    <t>VARIOUS LOCATIONS IN SCOTTSDALE</t>
  </si>
  <si>
    <t>SH62201D</t>
  </si>
  <si>
    <t>CHN14-111</t>
  </si>
  <si>
    <t>CRASH ANALYSIS SOFTWARE</t>
  </si>
  <si>
    <t>SH62301D</t>
  </si>
  <si>
    <t>292</t>
  </si>
  <si>
    <t>SH62401D</t>
  </si>
  <si>
    <t>SH62501D</t>
  </si>
  <si>
    <t>209</t>
  </si>
  <si>
    <t>SS87101C</t>
  </si>
  <si>
    <t xml:space="preserve">DOBSON ROAD BIKE &amp; PED ROUTE                      </t>
  </si>
  <si>
    <t>214</t>
  </si>
  <si>
    <t>SZ09203D</t>
  </si>
  <si>
    <t>MMA18-113D2Z/MMA20-113DZ</t>
  </si>
  <si>
    <t>NORTHERN PKWY: DYSART RD OVERPASS</t>
  </si>
  <si>
    <t>SS87001C</t>
  </si>
  <si>
    <t xml:space="preserve">32ND STREET (WASHINGTON TO MCDOWELL)              </t>
  </si>
  <si>
    <t>SS92401C</t>
  </si>
  <si>
    <t xml:space="preserve">UPGRADE SIGNAL CONTROLLERS-VARIOUS LOCATIONS      </t>
  </si>
  <si>
    <t>232</t>
  </si>
  <si>
    <t>SZ04701C</t>
  </si>
  <si>
    <t>MMA14-117C</t>
  </si>
  <si>
    <t>NORTHERN PKWY: REEMS &amp; LITCHFIELD OVERPASS</t>
  </si>
  <si>
    <t>SZ04703D</t>
  </si>
  <si>
    <t>SH53501C</t>
  </si>
  <si>
    <t>75TH AVE &amp; CACTUS TI</t>
  </si>
  <si>
    <t>SH53601C</t>
  </si>
  <si>
    <t>75TH AVE &amp; PEORIA TI</t>
  </si>
  <si>
    <t>216</t>
  </si>
  <si>
    <t>SZ10301C</t>
  </si>
  <si>
    <t>ELM14-101</t>
  </si>
  <si>
    <t>EL MIRAGE</t>
  </si>
  <si>
    <t>VARIOUS TRAFFIC SIGNALS WITHIN CITY OF EL MIRAGE</t>
  </si>
  <si>
    <t>ELM</t>
  </si>
  <si>
    <t>T012501X</t>
  </si>
  <si>
    <t>SZ14601C</t>
  </si>
  <si>
    <t>PNL15-409</t>
  </si>
  <si>
    <t>FUQUA; BARNES-LEALAND &amp; BARNES; WHITE&amp;PARKER</t>
  </si>
  <si>
    <t>REEMS RD; PEORIA AVE TO MOUNTAIN VIEW BLVD</t>
  </si>
  <si>
    <t>T012601X</t>
  </si>
  <si>
    <t>T012701X</t>
  </si>
  <si>
    <t>T012801C</t>
  </si>
  <si>
    <t>MAGADOT-16L1</t>
  </si>
  <si>
    <t>T0009/SH634/SH607</t>
  </si>
  <si>
    <t>MAG HSIP Apportionment Loan to ADOT</t>
  </si>
  <si>
    <t>SH531</t>
  </si>
  <si>
    <t>MAG17-435</t>
  </si>
  <si>
    <t>PEO15-105C2</t>
  </si>
  <si>
    <t>Litchfield Road: Bird Ln to Camelback Rd.</t>
  </si>
  <si>
    <t>SUR17-470/MAG16-4PIP</t>
  </si>
  <si>
    <t>SS87903D</t>
  </si>
  <si>
    <t>MMA15-103DZ</t>
  </si>
  <si>
    <t xml:space="preserve">GILBERT ROAD BRIDGE OVER THE SALT RIVER           </t>
  </si>
  <si>
    <t>218</t>
  </si>
  <si>
    <t>SS87901L</t>
  </si>
  <si>
    <t>MAG16-4PIP</t>
  </si>
  <si>
    <t>The  OA/Apportionments rate for FFY 17 is 94.9%.  The rate for calculations is 0.949. This rate is subject to change based on additonal congressional action.</t>
  </si>
  <si>
    <t>SS53901C</t>
  </si>
  <si>
    <t xml:space="preserve">56TH STREET AND CHANDLER BLVD                     </t>
  </si>
  <si>
    <t>21</t>
  </si>
  <si>
    <t>SS84501C</t>
  </si>
  <si>
    <t>GLN09-810</t>
  </si>
  <si>
    <t>Peoria Ave, 67th Ave to 43rd Ave, 59th &amp; Glendale</t>
  </si>
  <si>
    <t>SS84503D</t>
  </si>
  <si>
    <t xml:space="preserve">59TH/GLENDALE/PEORIA - FIBER OPTIC,CONDUIT &amp; DMS  </t>
  </si>
  <si>
    <t>T009903D</t>
  </si>
  <si>
    <t>Riverview Elementary, Dysart Elementary, Surprise Elementary</t>
  </si>
  <si>
    <t>ELWOOD ST: COTTON LN TO ESTRELLA PKWY, COTTON LN: ESTRELLA PKWY TO ELWOOD ST, ESTRELLA PKWY: ELLIOT RD TO COTTON LN, ELLIOT RD: SAN GABRIEL DR TO ESTRELLA PKWY</t>
  </si>
  <si>
    <t>SZ04501C</t>
  </si>
  <si>
    <t xml:space="preserve">PHX14-101                                         </t>
  </si>
  <si>
    <t>INDIAN SCHOOL RD; GRAND CANAL - 16TH ST, PHOENIX</t>
  </si>
  <si>
    <t>276</t>
  </si>
  <si>
    <t>SZ08601C</t>
  </si>
  <si>
    <t>MMA15-436C/MMA15-436C2</t>
  </si>
  <si>
    <t>ROCKAWAY HILLS DRIVE</t>
  </si>
  <si>
    <t>SZ09401C</t>
  </si>
  <si>
    <t>TMP14-101</t>
  </si>
  <si>
    <t>RURAL ROAD TO KIWANIS PARK MUP</t>
  </si>
  <si>
    <t>235</t>
  </si>
  <si>
    <t>SZ14501C</t>
  </si>
  <si>
    <t>SUR16-401</t>
  </si>
  <si>
    <t>JOMAX ROAD: 147TH AVE - 133RD AVE</t>
  </si>
  <si>
    <t>219</t>
  </si>
  <si>
    <t>SZ15401C</t>
  </si>
  <si>
    <t>CHN16-404/CHN16-404C2</t>
  </si>
  <si>
    <t>Various Locations on Ray, Frye, Price and connection from Frye to Cooper</t>
  </si>
  <si>
    <t>231</t>
  </si>
  <si>
    <t>TMP17-402/TMP17-402C2</t>
  </si>
  <si>
    <t>T001201C</t>
  </si>
  <si>
    <t>PHX16-417/PHX16-417C2</t>
  </si>
  <si>
    <t>PAVE DIRT ALLEYS, PHOENIX</t>
  </si>
  <si>
    <t>331</t>
  </si>
  <si>
    <t>T006901D</t>
  </si>
  <si>
    <t>GLN17-440/GLN17-440D2</t>
  </si>
  <si>
    <t>CAMELBACK RD - 79TH AVE TO 83RD AVE</t>
  </si>
  <si>
    <t>255</t>
  </si>
  <si>
    <t>T007001D</t>
  </si>
  <si>
    <t>GLN18-441/GLN18-441D2</t>
  </si>
  <si>
    <t>PARADISE LN - 55TH AVE TO 59TH AVE</t>
  </si>
  <si>
    <t>256</t>
  </si>
  <si>
    <t>T007101D</t>
  </si>
  <si>
    <t>GLN18-440/GLN18-440D2</t>
  </si>
  <si>
    <t>67TH AVE - GLENDALE AVE TO ORANGEWOOD AVE</t>
  </si>
  <si>
    <t>257</t>
  </si>
  <si>
    <t>CHANDLER BLVD - I 10 TO 56TH ST</t>
  </si>
  <si>
    <t>T007601D</t>
  </si>
  <si>
    <t>GLN19-760D/GLN19-760D2</t>
  </si>
  <si>
    <t>CAMELBACK RD - 51ST AVE TO 91ST AVE</t>
  </si>
  <si>
    <t>T007701D</t>
  </si>
  <si>
    <t>GLN18-460D/GLN18-460D2</t>
  </si>
  <si>
    <t>VARIOUS LOCATIONS - CITY OF GLENDALE EVP SYSTEM</t>
  </si>
  <si>
    <t>T010401D</t>
  </si>
  <si>
    <t>APJ18-460D</t>
  </si>
  <si>
    <t>APACHE JUNCTION</t>
  </si>
  <si>
    <t>DESIGN WIRELESS COMMUNICATION TO ALL APACHE JUNCTION TRAFIIC SIGNAL</t>
  </si>
  <si>
    <t>APJ</t>
  </si>
  <si>
    <t>341</t>
  </si>
  <si>
    <t>SH59401C</t>
  </si>
  <si>
    <t>TMP11-111C2</t>
  </si>
  <si>
    <t>CITY OF TEMPE - EMERGENCY PREEMPTION CARDS/TESTER</t>
  </si>
  <si>
    <t>237</t>
  </si>
  <si>
    <t>SZ07901C</t>
  </si>
  <si>
    <t xml:space="preserve">AVN15-461                                         </t>
  </si>
  <si>
    <t>DYSART ROAD; SANTA FE - INDIAN SCHOOL, AVONDALE</t>
  </si>
  <si>
    <t>259</t>
  </si>
  <si>
    <t>GDY18-460D2</t>
  </si>
  <si>
    <t>DOT17-461/43617</t>
  </si>
  <si>
    <t>SZ02301C</t>
  </si>
  <si>
    <t>BKY10-801</t>
  </si>
  <si>
    <t>MILLER AND MONROE RD, (MC-85) TRAFFIC SIGNALS</t>
  </si>
  <si>
    <t>Transfer</t>
  </si>
  <si>
    <t>MAG FTA-GILBERT RD LRT</t>
  </si>
  <si>
    <t>MMA17-124PDZ</t>
  </si>
  <si>
    <t>H881801C</t>
  </si>
  <si>
    <t>43517 / DOT17-460</t>
  </si>
  <si>
    <t>RAY RD - BROADWAY RD</t>
  </si>
  <si>
    <t>202</t>
  </si>
  <si>
    <t>C</t>
  </si>
  <si>
    <t>205</t>
  </si>
  <si>
    <t>PMG1703P</t>
  </si>
  <si>
    <t>T</t>
  </si>
  <si>
    <t>T007303D</t>
  </si>
  <si>
    <t>Glendale SRTS Support Prgm FY17</t>
  </si>
  <si>
    <t>258</t>
  </si>
  <si>
    <t>SZ02401C</t>
  </si>
  <si>
    <t>BKY13-901/BKY13-901C2</t>
  </si>
  <si>
    <t>ALARCON BLVD, TOWN OF BUCKEYE</t>
  </si>
  <si>
    <t>Expected Totals</t>
  </si>
  <si>
    <t>Planned Lapsing - 06/30/17</t>
  </si>
  <si>
    <t>Lapsed - 07/01/17</t>
  </si>
  <si>
    <t>Planned Lapsing - 09/30/17</t>
  </si>
  <si>
    <t>Carry Forward to FFY 18</t>
  </si>
  <si>
    <t>T010701X</t>
  </si>
  <si>
    <t>272</t>
  </si>
  <si>
    <t>T014401X</t>
  </si>
  <si>
    <t>ELM 20-701</t>
  </si>
  <si>
    <t>SZ11901C</t>
  </si>
  <si>
    <t xml:space="preserve">GDY15-461                                         </t>
  </si>
  <si>
    <t>SR303; MCDOWELL - CAMELBACK, GOODYEAR</t>
  </si>
  <si>
    <t>SH57203D</t>
  </si>
  <si>
    <t>GLENDALE SIGNAL</t>
  </si>
  <si>
    <t>SH57201C</t>
  </si>
  <si>
    <t>GLN13-106</t>
  </si>
  <si>
    <t>CITY OF GLENDALE - VARIOUS LOCATIONS</t>
  </si>
  <si>
    <t>SZ06901C</t>
  </si>
  <si>
    <t>GDY13-901</t>
  </si>
  <si>
    <t>DESIGN&amp;CONSTR FIBER OPTIC INTERCONNECT TRAFFIC MNG</t>
  </si>
  <si>
    <t>206</t>
  </si>
  <si>
    <t>SS98301C</t>
  </si>
  <si>
    <t>GDY12-801</t>
  </si>
  <si>
    <t>GOODYEAR-FIBER OPTIC INTERCONNECT/TRFC SIGNAL</t>
  </si>
  <si>
    <t>347</t>
  </si>
  <si>
    <t>SH62601D</t>
  </si>
  <si>
    <t>SH62601X</t>
  </si>
  <si>
    <t>SH63501U</t>
  </si>
  <si>
    <t>GLN17-402C2</t>
  </si>
  <si>
    <t>T014503D</t>
  </si>
  <si>
    <t>NORTHERN PARKWAY; LOOP 101 TO GRAND AVE</t>
  </si>
  <si>
    <t>SZ07401C</t>
  </si>
  <si>
    <t>GLB14-102</t>
  </si>
  <si>
    <t>GILBERT</t>
  </si>
  <si>
    <t>TOWN OF GILBERT INSTALL FIBER OPTIC COMMUNICATION</t>
  </si>
  <si>
    <t>GIL</t>
  </si>
  <si>
    <t>SZ07403D</t>
  </si>
  <si>
    <t xml:space="preserve">TOWN OF GILBERT INSTALL FIBER OPTIC COMMUNICATION </t>
  </si>
  <si>
    <t>SCMPOMAG-17L1</t>
  </si>
  <si>
    <t>SVMPOMAG-17L1</t>
  </si>
  <si>
    <t>SVMPO STP Loan to MAG</t>
  </si>
  <si>
    <t>SVMPOMAG-17L2</t>
  </si>
  <si>
    <t>SVMPO HSIP Loan to MAG</t>
  </si>
  <si>
    <t>MAGSCMPO-17T1</t>
  </si>
  <si>
    <t>Regional Safety Plan</t>
  </si>
  <si>
    <t>MAG HSIP Transfer to SCMPO</t>
  </si>
  <si>
    <t>PEO15-104 &amp; PEO15-104C2/ADOT TIP 4568</t>
  </si>
  <si>
    <t>VMR18-102SYSZ/VMR22-102SYSZ/VMR-VARIOUS</t>
  </si>
  <si>
    <t>SZ04603D</t>
  </si>
  <si>
    <t>MMA13-118RWZ / MMA17-118DZ</t>
  </si>
  <si>
    <t>Northern Parkway: Dysart Road to 111th Avenue</t>
  </si>
  <si>
    <t>75TH AVENUE TRAFFIC SIGNAL COMMUNICATION DEPL</t>
  </si>
  <si>
    <t>230</t>
  </si>
  <si>
    <t>SS84701C</t>
  </si>
  <si>
    <t>GLN12-804</t>
  </si>
  <si>
    <t>GLENDALE, CITYWIDE</t>
  </si>
  <si>
    <t>SS84703D</t>
  </si>
  <si>
    <t>CACTUS, THUNDERBIRD &amp; GREENWAY - F.O./CONDUIT/CCTV</t>
  </si>
  <si>
    <t>SZ08503D</t>
  </si>
  <si>
    <t>MMA 15-434D</t>
  </si>
  <si>
    <t xml:space="preserve">NEW RIVER AREA PM-10 PAVING PHASE 1               </t>
  </si>
  <si>
    <t>PMG1705P</t>
  </si>
  <si>
    <t>MAG 17-431</t>
  </si>
  <si>
    <t>Q</t>
  </si>
  <si>
    <t>AVN16-412/AVN16-412C2/AVN20-472</t>
  </si>
  <si>
    <t>Procure and Install Sign Management System and Sign Updgrade Avondale</t>
  </si>
  <si>
    <t>Design Sign Management System/Updgrade, Phase 3</t>
  </si>
  <si>
    <t>SZ10003D</t>
  </si>
  <si>
    <t>PHX15-463</t>
  </si>
  <si>
    <t>Various Locations Citywide Phoenix</t>
  </si>
  <si>
    <t>286</t>
  </si>
  <si>
    <t>274</t>
  </si>
  <si>
    <t>MAG17-432/MAG17-433/MAG17-434</t>
  </si>
  <si>
    <t>SZ02101C</t>
  </si>
  <si>
    <t>MMA14-102</t>
  </si>
  <si>
    <t>MC85 ITS/TRAFFIC MNGT: AGUA FRIA BR TO 75TH AVE</t>
  </si>
  <si>
    <t>2018/20</t>
  </si>
  <si>
    <t>2020</t>
  </si>
  <si>
    <t>H700701C</t>
  </si>
  <si>
    <t>UNION PACIFIC RR CROSSING</t>
  </si>
  <si>
    <t>MAGFTA17A</t>
  </si>
  <si>
    <t>SZ10101C</t>
  </si>
  <si>
    <t>PHX15-431C</t>
  </si>
  <si>
    <t>Phoenix Citywide Alleys in Phoenix,AZ</t>
  </si>
  <si>
    <t>287</t>
  </si>
  <si>
    <t>SZ10103D</t>
  </si>
  <si>
    <t>PHX-15-431D</t>
  </si>
  <si>
    <t>CHN18-440/CHN18-440D2</t>
  </si>
  <si>
    <t>342</t>
  </si>
  <si>
    <t>H847401C</t>
  </si>
  <si>
    <t>TMP12-104C2/104/20714</t>
  </si>
  <si>
    <t>UNDERNEATH SR 202 @ 202/101 TI (RIO SALADO)</t>
  </si>
  <si>
    <t>SZ12201C</t>
  </si>
  <si>
    <t>PHX14-104</t>
  </si>
  <si>
    <t>PAVE DIRT ALLEYWAYS</t>
  </si>
  <si>
    <t>291</t>
  </si>
  <si>
    <t>SZ06201C</t>
  </si>
  <si>
    <t>PEO13-901 / PEO13-901C2</t>
  </si>
  <si>
    <t>83 AVE LONE CACTUS-JOMAX TRAFFIC SIGNAL INTERCONN</t>
  </si>
  <si>
    <t>27715 / DOT17-730/ DOT17-424C2</t>
  </si>
  <si>
    <t>SZ18303D</t>
  </si>
  <si>
    <t>APJ17-401D</t>
  </si>
  <si>
    <t>SOUTHERN AVE: WINCHESTER - ROYAL PALMS; APACHE JCT</t>
  </si>
  <si>
    <t>SZ18301D</t>
  </si>
  <si>
    <t>SH63401X</t>
  </si>
  <si>
    <t>T013603D</t>
  </si>
  <si>
    <t>SZ13201C</t>
  </si>
  <si>
    <t>GLB13-904</t>
  </si>
  <si>
    <t>PECOS RD/POWER RD</t>
  </si>
  <si>
    <t>213</t>
  </si>
  <si>
    <t>NORTHERN PKWY: 99TH AVE TO EAST LOOP 101 RAMPS</t>
  </si>
  <si>
    <t>T015303D</t>
  </si>
  <si>
    <t>MMA19-123DZ</t>
  </si>
  <si>
    <t>Northern Pkwy-El Mirage Overpass</t>
  </si>
  <si>
    <t>000</t>
  </si>
  <si>
    <t>SS91501C</t>
  </si>
  <si>
    <t xml:space="preserve">GILBERT RD - WIDENING IMP-CHN HEIGHTS TO HUNT HWY </t>
  </si>
  <si>
    <t>PHX17-417, Phx TIP AMD#7</t>
  </si>
  <si>
    <t>SZ07001C</t>
  </si>
  <si>
    <t>SCT14-103</t>
  </si>
  <si>
    <t>PAVE DIRT ROADS</t>
  </si>
  <si>
    <t>Reduce AC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</si>
</sst>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quot;$&quot;#,##0.00"/>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name val="Arial Unicode MS"/>
      <family val="2"/>
    </font>
    <font>
      <sz val="9"/>
      <color theme="1"/>
      <name val="Arial Unicode MS"/>
      <family val="2"/>
    </font>
    <font>
      <b/>
      <sz val="10"/>
      <color theme="1"/>
      <name val="Arial Unicode MS"/>
      <family val="2"/>
    </font>
    <font>
      <sz val="10"/>
      <color theme="1"/>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b/>
      <sz val="14"/>
      <name val="Calibri"/>
      <family val="2"/>
      <scheme val="minor"/>
    </font>
    <font>
      <sz val="12"/>
      <name val="Times New Roman"/>
      <family val="1"/>
    </font>
    <font>
      <sz val="8"/>
      <name val="Arial"/>
      <family val="2"/>
    </font>
    <font>
      <b/>
      <sz val="9"/>
      <color theme="0"/>
      <name val="Arial Unicode MS"/>
      <family val="2"/>
    </font>
    <font>
      <sz val="9"/>
      <color rgb="FFFF0000"/>
      <name val="Arial Unicode MS"/>
      <family val="2"/>
    </font>
    <font>
      <b/>
      <sz val="9"/>
      <color rgb="FFFF0000"/>
      <name val="Arial Unicode MS"/>
      <family val="2"/>
    </font>
    <font>
      <b/>
      <sz val="11"/>
      <color rgb="FFFF0000"/>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E4DFE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7">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xf numFmtId="0" fontId="27" fillId="0" borderId="0"/>
    <xf numFmtId="0" fontId="28" fillId="0" borderId="0"/>
    <xf numFmtId="43" fontId="28" fillId="0" borderId="0" applyFont="0" applyFill="0" applyBorder="0" applyAlignment="0" applyProtection="0"/>
  </cellStyleXfs>
  <cellXfs count="257">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8" fontId="0" fillId="0" borderId="10"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0" fontId="14" fillId="0" borderId="0" xfId="0" applyFont="1" applyFill="1" applyAlignment="1">
      <alignment vertical="top" wrapText="1"/>
    </xf>
    <xf numFmtId="40" fontId="14" fillId="0" borderId="0" xfId="1" applyNumberFormat="1" applyFont="1" applyAlignment="1">
      <alignment vertical="top" wrapText="1"/>
    </xf>
    <xf numFmtId="164" fontId="14" fillId="0" borderId="0" xfId="0" applyNumberFormat="1" applyFont="1" applyAlignment="1">
      <alignment vertical="top" wrapText="1"/>
    </xf>
    <xf numFmtId="0" fontId="16" fillId="0" borderId="0" xfId="0" applyFont="1" applyAlignment="1">
      <alignment vertical="top" wrapText="1"/>
    </xf>
    <xf numFmtId="40" fontId="21" fillId="0" borderId="0" xfId="0" applyNumberFormat="1" applyFont="1" applyFill="1" applyBorder="1" applyAlignment="1">
      <alignmen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4" fillId="0" borderId="0" xfId="0" applyNumberFormat="1" applyFont="1" applyFill="1" applyBorder="1" applyAlignment="1">
      <alignment vertical="top" wrapText="1"/>
    </xf>
    <xf numFmtId="164" fontId="14" fillId="0" borderId="0" xfId="0" applyNumberFormat="1" applyFont="1" applyBorder="1" applyAlignment="1">
      <alignment vertical="top" wrapText="1"/>
    </xf>
    <xf numFmtId="0" fontId="14" fillId="0" borderId="0" xfId="0" applyFont="1" applyBorder="1" applyAlignment="1">
      <alignment vertical="top" wrapText="1"/>
    </xf>
    <xf numFmtId="40" fontId="14" fillId="0" borderId="0" xfId="0" applyNumberFormat="1" applyFont="1" applyBorder="1" applyAlignment="1">
      <alignment vertical="top" wrapText="1"/>
    </xf>
    <xf numFmtId="0" fontId="19"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14" fontId="21" fillId="0" borderId="0" xfId="0" applyNumberFormat="1" applyFont="1" applyBorder="1" applyAlignment="1">
      <alignment horizontal="center" vertical="center" wrapText="1"/>
    </xf>
    <xf numFmtId="40" fontId="21" fillId="0" borderId="0" xfId="0" applyNumberFormat="1" applyFont="1" applyBorder="1" applyAlignment="1">
      <alignment horizontal="center" vertical="center" wrapText="1"/>
    </xf>
    <xf numFmtId="40" fontId="19" fillId="0" borderId="0" xfId="0" applyNumberFormat="1" applyFont="1" applyBorder="1" applyAlignment="1">
      <alignment vertical="top" wrapText="1"/>
    </xf>
    <xf numFmtId="14" fontId="0" fillId="0" borderId="0" xfId="3" applyNumberFormat="1" applyFont="1" applyAlignment="1">
      <alignment horizontal="left" vertical="center" wrapText="1"/>
    </xf>
    <xf numFmtId="40" fontId="18" fillId="0" borderId="3" xfId="1" applyNumberFormat="1" applyFont="1" applyFill="1" applyBorder="1" applyAlignment="1">
      <alignment horizontal="center" vertical="center" wrapText="1"/>
    </xf>
    <xf numFmtId="43" fontId="13" fillId="0" borderId="0" xfId="3" applyFont="1" applyBorder="1"/>
    <xf numFmtId="43" fontId="0" fillId="0" borderId="6" xfId="3" applyFont="1" applyBorder="1"/>
    <xf numFmtId="43" fontId="0" fillId="0" borderId="3" xfId="3" applyFont="1" applyBorder="1"/>
    <xf numFmtId="43" fontId="0" fillId="0" borderId="7" xfId="3" applyFont="1" applyBorder="1"/>
    <xf numFmtId="40" fontId="23" fillId="0" borderId="0" xfId="3" applyNumberFormat="1" applyFont="1" applyBorder="1" applyAlignment="1">
      <alignment horizontal="right" vertical="top" wrapText="1"/>
    </xf>
    <xf numFmtId="40" fontId="19" fillId="0" borderId="0" xfId="3" applyNumberFormat="1" applyFont="1" applyBorder="1" applyAlignment="1">
      <alignment vertical="top" wrapText="1"/>
    </xf>
    <xf numFmtId="14" fontId="14" fillId="0" borderId="0" xfId="0" applyNumberFormat="1" applyFont="1" applyAlignment="1">
      <alignment horizontal="center" vertical="center" wrapText="1"/>
    </xf>
    <xf numFmtId="14" fontId="14" fillId="0" borderId="0" xfId="0" applyNumberFormat="1" applyFont="1" applyBorder="1" applyAlignment="1">
      <alignment horizontal="center" vertical="center" wrapText="1"/>
    </xf>
    <xf numFmtId="14" fontId="22" fillId="0" borderId="0" xfId="0" applyNumberFormat="1" applyFont="1" applyBorder="1" applyAlignment="1">
      <alignment horizontal="center" vertical="center" wrapText="1"/>
    </xf>
    <xf numFmtId="40" fontId="14" fillId="0" borderId="0" xfId="0" applyNumberFormat="1" applyFont="1" applyFill="1" applyAlignment="1">
      <alignment vertical="top" wrapText="1"/>
    </xf>
    <xf numFmtId="40" fontId="14" fillId="0" borderId="0" xfId="0" quotePrefix="1" applyNumberFormat="1" applyFont="1" applyAlignment="1">
      <alignment vertical="top" wrapText="1"/>
    </xf>
    <xf numFmtId="40" fontId="25" fillId="0" borderId="0" xfId="1" applyNumberFormat="1" applyFont="1" applyFill="1" applyBorder="1" applyAlignment="1">
      <alignment vertical="center" wrapText="1"/>
    </xf>
    <xf numFmtId="0" fontId="21" fillId="2" borderId="0" xfId="0" applyFont="1" applyFill="1" applyBorder="1" applyAlignment="1">
      <alignment horizontal="center" vertical="center" wrapText="1"/>
    </xf>
    <xf numFmtId="14" fontId="18" fillId="0" borderId="6" xfId="1" applyNumberFormat="1" applyFont="1" applyFill="1" applyBorder="1" applyAlignment="1">
      <alignment horizontal="center" vertical="center" wrapText="1"/>
    </xf>
    <xf numFmtId="40" fontId="18" fillId="2" borderId="7" xfId="1" applyNumberFormat="1" applyFont="1" applyFill="1" applyBorder="1" applyAlignment="1">
      <alignment horizontal="center" vertical="center" wrapText="1"/>
    </xf>
    <xf numFmtId="43" fontId="2" fillId="0" borderId="0" xfId="3" applyFont="1"/>
    <xf numFmtId="43" fontId="0" fillId="0" borderId="0" xfId="3" applyFont="1" applyAlignment="1">
      <alignment horizontal="center"/>
    </xf>
    <xf numFmtId="43" fontId="0" fillId="0" borderId="0" xfId="3" applyFont="1"/>
    <xf numFmtId="49" fontId="0" fillId="0" borderId="0" xfId="3" applyNumberFormat="1" applyFont="1"/>
    <xf numFmtId="0" fontId="21" fillId="0" borderId="0" xfId="0" applyFont="1" applyBorder="1" applyAlignment="1">
      <alignment horizontal="center" vertical="top" wrapText="1"/>
    </xf>
    <xf numFmtId="0" fontId="21" fillId="0" borderId="0" xfId="0" applyFont="1" applyFill="1" applyBorder="1" applyAlignment="1">
      <alignment horizontal="center" vertical="top" wrapText="1"/>
    </xf>
    <xf numFmtId="40" fontId="17" fillId="0" borderId="0" xfId="0" applyNumberFormat="1" applyFont="1" applyFill="1" applyBorder="1" applyAlignment="1">
      <alignment horizontal="center" vertical="top" wrapText="1"/>
    </xf>
    <xf numFmtId="14" fontId="17" fillId="0" borderId="0" xfId="0" applyNumberFormat="1" applyFont="1" applyFill="1" applyBorder="1" applyAlignment="1">
      <alignment horizontal="center" vertical="top" wrapText="1"/>
    </xf>
    <xf numFmtId="14" fontId="22" fillId="0" borderId="12" xfId="0" applyNumberFormat="1" applyFont="1" applyBorder="1" applyAlignment="1">
      <alignment horizontal="center" vertical="top" wrapText="1"/>
    </xf>
    <xf numFmtId="14" fontId="22" fillId="0" borderId="18" xfId="0" applyNumberFormat="1" applyFont="1" applyBorder="1" applyAlignment="1">
      <alignment horizontal="center" vertical="top" wrapText="1"/>
    </xf>
    <xf numFmtId="14" fontId="21" fillId="0" borderId="0" xfId="0" applyNumberFormat="1" applyFont="1" applyFill="1" applyBorder="1" applyAlignment="1">
      <alignment horizontal="center" vertical="top" wrapText="1"/>
    </xf>
    <xf numFmtId="40" fontId="21" fillId="0" borderId="0" xfId="0" applyNumberFormat="1" applyFont="1" applyFill="1" applyBorder="1" applyAlignment="1">
      <alignment horizontal="center" vertical="top" wrapText="1"/>
    </xf>
    <xf numFmtId="40" fontId="19" fillId="0" borderId="0" xfId="0" applyNumberFormat="1" applyFont="1" applyBorder="1" applyAlignment="1">
      <alignment horizontal="center" vertical="top" wrapText="1"/>
    </xf>
    <xf numFmtId="40" fontId="17" fillId="0" borderId="0" xfId="0" applyNumberFormat="1" applyFont="1" applyBorder="1" applyAlignment="1">
      <alignment horizontal="center" vertical="top" wrapText="1"/>
    </xf>
    <xf numFmtId="14" fontId="21" fillId="0" borderId="0" xfId="0" applyNumberFormat="1" applyFont="1" applyBorder="1" applyAlignment="1">
      <alignment horizontal="center" vertical="top" wrapText="1"/>
    </xf>
    <xf numFmtId="14" fontId="19" fillId="0" borderId="0" xfId="0" applyNumberFormat="1" applyFont="1" applyBorder="1" applyAlignment="1">
      <alignment horizontal="center" vertical="top" wrapText="1"/>
    </xf>
    <xf numFmtId="14" fontId="19" fillId="0" borderId="0" xfId="0" applyNumberFormat="1" applyFont="1" applyFill="1" applyBorder="1" applyAlignment="1">
      <alignment horizontal="center" vertical="top" wrapText="1"/>
    </xf>
    <xf numFmtId="40" fontId="19" fillId="0" borderId="0" xfId="0" applyNumberFormat="1" applyFont="1" applyFill="1" applyBorder="1" applyAlignment="1">
      <alignment horizontal="center" vertical="top" wrapText="1"/>
    </xf>
    <xf numFmtId="40" fontId="23" fillId="0" borderId="0" xfId="0" applyNumberFormat="1" applyFont="1" applyFill="1" applyBorder="1" applyAlignment="1">
      <alignment horizontal="center" vertical="top" wrapText="1"/>
    </xf>
    <xf numFmtId="40" fontId="21" fillId="0" borderId="0" xfId="0" applyNumberFormat="1" applyFont="1" applyBorder="1" applyAlignment="1">
      <alignment horizontal="center" vertical="top" wrapText="1"/>
    </xf>
    <xf numFmtId="40" fontId="21" fillId="2" borderId="0" xfId="0" applyNumberFormat="1" applyFont="1" applyFill="1" applyBorder="1" applyAlignment="1">
      <alignment horizontal="center" vertical="top" wrapText="1"/>
    </xf>
    <xf numFmtId="14" fontId="14" fillId="0" borderId="0" xfId="0" applyNumberFormat="1" applyFont="1" applyBorder="1" applyAlignment="1">
      <alignment horizontal="center" vertical="top" wrapText="1"/>
    </xf>
    <xf numFmtId="14" fontId="20" fillId="0" borderId="0" xfId="0" applyNumberFormat="1" applyFont="1" applyBorder="1" applyAlignment="1">
      <alignment horizontal="center" vertical="top" wrapText="1"/>
    </xf>
    <xf numFmtId="40" fontId="18" fillId="0" borderId="6" xfId="1" applyNumberFormat="1" applyFont="1" applyBorder="1" applyAlignment="1">
      <alignment horizontal="center" vertical="top" wrapText="1"/>
    </xf>
    <xf numFmtId="40" fontId="18" fillId="0" borderId="3" xfId="1" applyNumberFormat="1" applyFont="1" applyBorder="1" applyAlignment="1">
      <alignment horizontal="center" vertical="top" wrapText="1"/>
    </xf>
    <xf numFmtId="40" fontId="18" fillId="0" borderId="12" xfId="1" applyNumberFormat="1" applyFont="1" applyBorder="1" applyAlignment="1">
      <alignment horizontal="center" vertical="top" wrapText="1"/>
    </xf>
    <xf numFmtId="40" fontId="18" fillId="0" borderId="13" xfId="1" applyNumberFormat="1" applyFont="1" applyBorder="1" applyAlignment="1">
      <alignment horizontal="center" vertical="top" wrapText="1"/>
    </xf>
    <xf numFmtId="40" fontId="18" fillId="2" borderId="21" xfId="1" applyNumberFormat="1" applyFont="1" applyFill="1" applyBorder="1" applyAlignment="1">
      <alignment horizontal="center" vertical="top" wrapText="1"/>
    </xf>
    <xf numFmtId="0" fontId="19" fillId="0" borderId="0" xfId="0" applyFont="1" applyBorder="1" applyAlignment="1">
      <alignment horizontal="left" vertical="top" wrapText="1"/>
    </xf>
    <xf numFmtId="14" fontId="19" fillId="0" borderId="0" xfId="0" applyNumberFormat="1" applyFont="1" applyBorder="1" applyAlignment="1">
      <alignment horizontal="right" vertical="top" wrapText="1"/>
    </xf>
    <xf numFmtId="0" fontId="19" fillId="0" borderId="0" xfId="0" applyFont="1" applyBorder="1" applyAlignment="1">
      <alignment horizontal="center" vertical="center" wrapText="1"/>
    </xf>
    <xf numFmtId="0" fontId="19" fillId="0" borderId="0" xfId="0" applyFont="1" applyAlignment="1">
      <alignment vertical="top" wrapText="1"/>
    </xf>
    <xf numFmtId="0" fontId="19" fillId="0" borderId="0" xfId="0" applyFont="1" applyBorder="1" applyAlignment="1">
      <alignment horizontal="center" vertical="top" wrapText="1"/>
    </xf>
    <xf numFmtId="0" fontId="19" fillId="0" borderId="0" xfId="0" applyFont="1" applyFill="1" applyBorder="1" applyAlignment="1">
      <alignment horizontal="center" vertical="top" wrapText="1"/>
    </xf>
    <xf numFmtId="40" fontId="29" fillId="0" borderId="0" xfId="0" applyNumberFormat="1" applyFont="1" applyFill="1" applyBorder="1" applyAlignment="1">
      <alignment horizontal="center" vertical="top" wrapText="1"/>
    </xf>
    <xf numFmtId="14" fontId="29" fillId="0" borderId="0" xfId="0" applyNumberFormat="1" applyFont="1" applyFill="1" applyBorder="1" applyAlignment="1">
      <alignment horizontal="center" vertical="top" wrapText="1"/>
    </xf>
    <xf numFmtId="0" fontId="22" fillId="0" borderId="0" xfId="0" applyFont="1" applyAlignment="1">
      <alignment horizontal="left" vertical="top" wrapText="1"/>
    </xf>
    <xf numFmtId="14" fontId="19" fillId="0" borderId="0" xfId="0" applyNumberFormat="1" applyFont="1" applyAlignment="1">
      <alignment horizontal="center" vertical="center" wrapText="1"/>
    </xf>
    <xf numFmtId="14" fontId="19" fillId="0" borderId="8" xfId="0" applyNumberFormat="1" applyFont="1" applyBorder="1" applyAlignment="1">
      <alignment horizontal="left" vertical="top" wrapText="1"/>
    </xf>
    <xf numFmtId="40" fontId="19" fillId="0" borderId="0" xfId="1" applyNumberFormat="1" applyFont="1" applyAlignment="1">
      <alignment vertical="top" wrapText="1"/>
    </xf>
    <xf numFmtId="14" fontId="19" fillId="0" borderId="8" xfId="0" applyNumberFormat="1" applyFont="1" applyFill="1" applyBorder="1" applyAlignment="1">
      <alignment horizontal="left" vertical="top" wrapText="1"/>
    </xf>
    <xf numFmtId="49" fontId="19" fillId="0" borderId="0" xfId="1" applyNumberFormat="1" applyFont="1" applyAlignment="1">
      <alignment vertical="top" wrapText="1"/>
    </xf>
    <xf numFmtId="14" fontId="19" fillId="0" borderId="0" xfId="0" applyNumberFormat="1" applyFont="1" applyAlignment="1">
      <alignment horizontal="left" vertical="center" wrapText="1"/>
    </xf>
    <xf numFmtId="40" fontId="19" fillId="0" borderId="0" xfId="0" applyNumberFormat="1" applyFont="1" applyFill="1" applyBorder="1" applyAlignment="1">
      <alignment vertical="top" wrapText="1"/>
    </xf>
    <xf numFmtId="14" fontId="19" fillId="0" borderId="9" xfId="0" applyNumberFormat="1" applyFont="1" applyFill="1" applyBorder="1" applyAlignment="1">
      <alignment horizontal="left" vertical="top" wrapText="1"/>
    </xf>
    <xf numFmtId="14" fontId="22" fillId="0" borderId="22" xfId="0" applyNumberFormat="1" applyFont="1" applyBorder="1" applyAlignment="1">
      <alignment horizontal="left" vertical="top" wrapText="1"/>
    </xf>
    <xf numFmtId="0" fontId="14" fillId="0" borderId="0" xfId="0" applyFont="1" applyAlignment="1">
      <alignment vertical="center" wrapText="1"/>
    </xf>
    <xf numFmtId="14" fontId="14" fillId="0" borderId="0" xfId="0" applyNumberFormat="1" applyFont="1" applyAlignment="1">
      <alignment vertical="center" wrapText="1"/>
    </xf>
    <xf numFmtId="43" fontId="19" fillId="0" borderId="8" xfId="3" applyFont="1" applyBorder="1"/>
    <xf numFmtId="43" fontId="19" fillId="0" borderId="1" xfId="3" applyFont="1" applyBorder="1"/>
    <xf numFmtId="43" fontId="19" fillId="0" borderId="2" xfId="3" applyFont="1" applyBorder="1"/>
    <xf numFmtId="43" fontId="19" fillId="0" borderId="0" xfId="3" applyFont="1" applyBorder="1"/>
    <xf numFmtId="0" fontId="19" fillId="0" borderId="0" xfId="0" applyFont="1" applyBorder="1"/>
    <xf numFmtId="43" fontId="19" fillId="0" borderId="9" xfId="3" applyFont="1" applyBorder="1"/>
    <xf numFmtId="43" fontId="19" fillId="0" borderId="4" xfId="3" applyFont="1" applyBorder="1"/>
    <xf numFmtId="43" fontId="19" fillId="0" borderId="5" xfId="3" applyFont="1" applyBorder="1"/>
    <xf numFmtId="43" fontId="19" fillId="0" borderId="0" xfId="3" applyFont="1"/>
    <xf numFmtId="43" fontId="13" fillId="0" borderId="0" xfId="3" applyFont="1" applyBorder="1" applyAlignment="1">
      <alignment wrapText="1"/>
    </xf>
    <xf numFmtId="0" fontId="0" fillId="0" borderId="0" xfId="0" applyBorder="1" applyAlignment="1">
      <alignment wrapText="1"/>
    </xf>
    <xf numFmtId="43" fontId="33" fillId="0" borderId="0" xfId="3" applyFont="1"/>
    <xf numFmtId="43" fontId="33" fillId="0" borderId="8" xfId="3" applyFont="1" applyBorder="1"/>
    <xf numFmtId="43" fontId="33" fillId="0" borderId="1" xfId="3" applyFont="1" applyBorder="1"/>
    <xf numFmtId="43" fontId="33" fillId="0" borderId="2" xfId="3" applyFont="1" applyBorder="1"/>
    <xf numFmtId="43" fontId="33" fillId="0" borderId="9" xfId="3" applyFont="1" applyBorder="1"/>
    <xf numFmtId="43" fontId="33" fillId="0" borderId="4" xfId="3" applyFont="1" applyBorder="1"/>
    <xf numFmtId="43" fontId="33" fillId="0" borderId="5" xfId="3" applyFont="1" applyBorder="1"/>
    <xf numFmtId="43" fontId="0" fillId="0" borderId="0" xfId="3" applyFont="1" applyAlignment="1">
      <alignment horizontal="left"/>
    </xf>
    <xf numFmtId="43" fontId="1" fillId="0" borderId="0" xfId="3" applyFont="1"/>
    <xf numFmtId="0" fontId="0" fillId="0" borderId="0" xfId="0" applyAlignment="1">
      <alignment vertical="top"/>
    </xf>
    <xf numFmtId="40" fontId="34" fillId="0" borderId="0" xfId="0" applyNumberFormat="1" applyFont="1" applyAlignment="1">
      <alignment vertical="top" wrapText="1"/>
    </xf>
    <xf numFmtId="0" fontId="19" fillId="0" borderId="0" xfId="0" applyFont="1" applyAlignment="1">
      <alignment horizontal="left" vertical="top" wrapText="1"/>
    </xf>
    <xf numFmtId="40" fontId="19" fillId="0" borderId="1" xfId="0" applyNumberFormat="1" applyFont="1" applyBorder="1" applyAlignment="1">
      <alignment horizontal="right" vertical="top" wrapText="1"/>
    </xf>
    <xf numFmtId="40" fontId="19" fillId="0" borderId="1" xfId="0" applyNumberFormat="1" applyFont="1" applyFill="1" applyBorder="1" applyAlignment="1">
      <alignment horizontal="right" vertical="top" wrapText="1"/>
    </xf>
    <xf numFmtId="40" fontId="19" fillId="0" borderId="2" xfId="0" applyNumberFormat="1" applyFont="1" applyBorder="1" applyAlignment="1">
      <alignment horizontal="right" vertical="top" wrapText="1"/>
    </xf>
    <xf numFmtId="40" fontId="19" fillId="0" borderId="2" xfId="0" applyNumberFormat="1" applyFont="1" applyFill="1" applyBorder="1" applyAlignment="1">
      <alignment horizontal="right" vertical="top" wrapText="1"/>
    </xf>
    <xf numFmtId="40" fontId="19" fillId="0" borderId="2" xfId="0" applyNumberFormat="1" applyFont="1" applyFill="1" applyBorder="1" applyAlignment="1">
      <alignment vertical="top" wrapText="1"/>
    </xf>
    <xf numFmtId="40" fontId="19" fillId="0" borderId="4" xfId="0" applyNumberFormat="1" applyFont="1" applyFill="1" applyBorder="1" applyAlignment="1">
      <alignment horizontal="right" vertical="top" wrapText="1"/>
    </xf>
    <xf numFmtId="40" fontId="22" fillId="0" borderId="23" xfId="0" applyNumberFormat="1" applyFont="1" applyFill="1" applyBorder="1" applyAlignment="1">
      <alignment horizontal="right" vertical="top" wrapText="1"/>
    </xf>
    <xf numFmtId="40" fontId="22" fillId="0" borderId="24" xfId="0" applyNumberFormat="1" applyFont="1" applyFill="1" applyBorder="1" applyAlignment="1">
      <alignment horizontal="right" vertical="top" wrapText="1"/>
    </xf>
    <xf numFmtId="14" fontId="19" fillId="0" borderId="0" xfId="0" applyNumberFormat="1" applyFont="1" applyFill="1" applyBorder="1" applyAlignment="1">
      <alignment horizontal="center" wrapText="1"/>
    </xf>
    <xf numFmtId="40" fontId="19" fillId="0" borderId="0" xfId="0" applyNumberFormat="1" applyFont="1" applyBorder="1" applyAlignment="1">
      <alignment horizontal="right" vertical="top" wrapText="1"/>
    </xf>
    <xf numFmtId="40" fontId="19" fillId="0" borderId="3" xfId="0" applyNumberFormat="1" applyFont="1" applyFill="1" applyBorder="1" applyAlignment="1">
      <alignment horizontal="right" vertical="top" wrapText="1"/>
    </xf>
    <xf numFmtId="40" fontId="19" fillId="0" borderId="13" xfId="0" applyNumberFormat="1" applyFont="1" applyFill="1" applyBorder="1" applyAlignment="1">
      <alignment horizontal="right" vertical="top" wrapText="1"/>
    </xf>
    <xf numFmtId="40" fontId="19" fillId="0" borderId="19" xfId="0" applyNumberFormat="1" applyFont="1" applyFill="1" applyBorder="1" applyAlignment="1">
      <alignment horizontal="right" vertical="top" wrapText="1"/>
    </xf>
    <xf numFmtId="40" fontId="19" fillId="0" borderId="20" xfId="0" applyNumberFormat="1" applyFont="1" applyFill="1" applyBorder="1" applyAlignment="1">
      <alignment horizontal="right" vertical="top" wrapText="1"/>
    </xf>
    <xf numFmtId="40" fontId="23" fillId="0" borderId="0" xfId="0" applyNumberFormat="1" applyFont="1" applyFill="1" applyBorder="1" applyAlignment="1">
      <alignment horizontal="right" vertical="top" wrapText="1"/>
    </xf>
    <xf numFmtId="14" fontId="31" fillId="0" borderId="0" xfId="0" applyNumberFormat="1" applyFont="1" applyBorder="1" applyAlignment="1">
      <alignment horizontal="right" vertical="top" wrapText="1"/>
    </xf>
    <xf numFmtId="40" fontId="19" fillId="0" borderId="0" xfId="0" applyNumberFormat="1" applyFont="1" applyAlignment="1">
      <alignment horizontal="right" vertical="top" wrapText="1"/>
    </xf>
    <xf numFmtId="40" fontId="19" fillId="0" borderId="25" xfId="0" applyNumberFormat="1" applyFont="1" applyBorder="1" applyAlignment="1">
      <alignment horizontal="right" vertical="top" wrapText="1"/>
    </xf>
    <xf numFmtId="14" fontId="22" fillId="0" borderId="0" xfId="0" applyNumberFormat="1" applyFont="1" applyBorder="1" applyAlignment="1">
      <alignment horizontal="right" vertical="top" wrapText="1"/>
    </xf>
    <xf numFmtId="14" fontId="19" fillId="0" borderId="0" xfId="0" applyNumberFormat="1" applyFont="1" applyAlignment="1">
      <alignment horizontal="right" vertical="top" wrapText="1"/>
    </xf>
    <xf numFmtId="0" fontId="14" fillId="0" borderId="0" xfId="0" applyFont="1" applyAlignment="1">
      <alignment vertical="center"/>
    </xf>
    <xf numFmtId="0" fontId="0" fillId="0" borderId="0" xfId="0" applyAlignment="1">
      <alignment horizontal="left" vertical="top" wrapText="1"/>
    </xf>
    <xf numFmtId="43" fontId="35" fillId="0" borderId="0" xfId="3" applyFont="1"/>
    <xf numFmtId="43" fontId="35" fillId="0" borderId="8" xfId="3" applyFont="1" applyBorder="1"/>
    <xf numFmtId="43" fontId="35" fillId="0" borderId="9" xfId="3" applyFont="1" applyBorder="1"/>
    <xf numFmtId="43" fontId="35" fillId="0" borderId="1" xfId="3" applyFont="1" applyBorder="1"/>
    <xf numFmtId="43" fontId="35" fillId="0" borderId="4" xfId="3" applyFont="1" applyBorder="1"/>
    <xf numFmtId="43" fontId="35" fillId="0" borderId="2" xfId="3" applyFont="1" applyBorder="1"/>
    <xf numFmtId="43" fontId="35" fillId="0" borderId="5" xfId="3" applyFont="1" applyBorder="1"/>
    <xf numFmtId="0" fontId="24" fillId="0" borderId="0" xfId="0" applyFont="1" applyAlignment="1">
      <alignment horizontal="left" vertical="top"/>
    </xf>
    <xf numFmtId="43" fontId="36" fillId="0" borderId="0" xfId="3" applyFont="1"/>
    <xf numFmtId="43" fontId="36" fillId="0" borderId="8" xfId="3" applyFont="1" applyBorder="1"/>
    <xf numFmtId="43" fontId="36" fillId="0" borderId="9" xfId="3" applyFont="1" applyBorder="1"/>
    <xf numFmtId="43" fontId="36" fillId="0" borderId="1" xfId="3" applyFont="1" applyBorder="1"/>
    <xf numFmtId="43" fontId="36" fillId="0" borderId="4" xfId="3" applyFont="1" applyBorder="1"/>
    <xf numFmtId="43" fontId="36" fillId="0" borderId="2" xfId="3" applyFont="1" applyBorder="1"/>
    <xf numFmtId="43" fontId="36" fillId="0" borderId="5" xfId="3" applyFont="1" applyBorder="1"/>
    <xf numFmtId="40" fontId="19" fillId="0" borderId="5" xfId="0" applyNumberFormat="1" applyFont="1" applyFill="1" applyBorder="1" applyAlignment="1">
      <alignment vertical="top" wrapText="1"/>
    </xf>
    <xf numFmtId="0" fontId="0" fillId="0" borderId="0" xfId="0" applyAlignment="1">
      <alignment horizontal="left" vertical="top" wrapText="1"/>
    </xf>
    <xf numFmtId="40" fontId="23" fillId="0" borderId="0" xfId="0" applyNumberFormat="1" applyFont="1" applyAlignment="1">
      <alignment vertical="top" wrapText="1"/>
    </xf>
    <xf numFmtId="0" fontId="23" fillId="0" borderId="0" xfId="0" applyFont="1" applyBorder="1" applyAlignment="1">
      <alignment horizontal="center" vertical="center" wrapText="1"/>
    </xf>
    <xf numFmtId="0" fontId="23" fillId="0" borderId="0" xfId="0" applyFont="1" applyBorder="1" applyAlignment="1">
      <alignment vertical="top" wrapText="1"/>
    </xf>
    <xf numFmtId="40" fontId="37" fillId="0" borderId="0" xfId="0" applyNumberFormat="1" applyFont="1" applyAlignment="1">
      <alignment vertical="top" wrapText="1"/>
    </xf>
    <xf numFmtId="14" fontId="37" fillId="0" borderId="0" xfId="0" applyNumberFormat="1" applyFont="1" applyAlignment="1">
      <alignment horizontal="right" vertical="top" wrapText="1"/>
    </xf>
    <xf numFmtId="40" fontId="37" fillId="0" borderId="0" xfId="0" applyNumberFormat="1" applyFont="1" applyAlignment="1">
      <alignment horizontal="right" vertical="top" wrapText="1"/>
    </xf>
    <xf numFmtId="0" fontId="37" fillId="0" borderId="0" xfId="0" applyFont="1" applyAlignment="1">
      <alignment horizontal="left" vertical="top" wrapText="1"/>
    </xf>
    <xf numFmtId="0" fontId="37" fillId="0" borderId="0" xfId="0" applyFont="1" applyAlignment="1">
      <alignment vertical="top" wrapText="1"/>
    </xf>
    <xf numFmtId="14" fontId="38" fillId="0" borderId="0" xfId="0" applyNumberFormat="1" applyFont="1" applyAlignment="1">
      <alignment horizontal="right" vertical="top" wrapText="1"/>
    </xf>
    <xf numFmtId="40" fontId="38" fillId="0" borderId="0" xfId="0" applyNumberFormat="1" applyFont="1" applyAlignment="1">
      <alignment horizontal="right" vertical="top" wrapText="1"/>
    </xf>
    <xf numFmtId="0" fontId="38" fillId="0" borderId="0" xfId="0" applyFont="1" applyAlignment="1">
      <alignment horizontal="left" vertical="top" wrapText="1"/>
    </xf>
    <xf numFmtId="0" fontId="38" fillId="0" borderId="0" xfId="0" applyFont="1" applyAlignment="1">
      <alignment vertical="top" wrapText="1"/>
    </xf>
    <xf numFmtId="0" fontId="39" fillId="0" borderId="0" xfId="0" applyFont="1" applyAlignment="1">
      <alignment horizontal="left" vertical="top" wrapText="1"/>
    </xf>
    <xf numFmtId="0" fontId="39" fillId="0" borderId="0" xfId="0" applyFont="1" applyAlignment="1">
      <alignment vertical="top" wrapText="1"/>
    </xf>
    <xf numFmtId="14" fontId="39" fillId="0" borderId="0" xfId="0" applyNumberFormat="1" applyFont="1" applyAlignment="1">
      <alignment horizontal="right" vertical="top" wrapText="1"/>
    </xf>
    <xf numFmtId="40" fontId="39" fillId="0" borderId="0" xfId="0" applyNumberFormat="1" applyFont="1" applyAlignment="1">
      <alignment horizontal="right" vertical="top" wrapText="1"/>
    </xf>
    <xf numFmtId="43" fontId="39" fillId="0" borderId="9" xfId="3" applyFont="1" applyBorder="1"/>
    <xf numFmtId="43" fontId="39" fillId="0" borderId="27" xfId="3" applyFont="1" applyBorder="1"/>
    <xf numFmtId="43" fontId="39" fillId="0" borderId="4" xfId="3" applyFont="1" applyBorder="1"/>
    <xf numFmtId="43" fontId="39" fillId="0" borderId="28" xfId="3" applyFont="1" applyBorder="1"/>
    <xf numFmtId="43" fontId="39" fillId="0" borderId="5" xfId="3" applyFont="1" applyBorder="1"/>
    <xf numFmtId="43" fontId="39" fillId="0" borderId="26" xfId="3" applyFont="1" applyBorder="1"/>
    <xf numFmtId="14" fontId="40" fillId="0" borderId="0" xfId="0" applyNumberFormat="1" applyFont="1" applyAlignment="1">
      <alignment horizontal="right" vertical="top" wrapText="1"/>
    </xf>
    <xf numFmtId="40" fontId="40" fillId="0" borderId="0" xfId="0" applyNumberFormat="1" applyFont="1" applyAlignment="1">
      <alignment horizontal="right" vertical="top" wrapText="1"/>
    </xf>
    <xf numFmtId="0" fontId="40" fillId="0" borderId="0" xfId="0" applyFont="1" applyAlignment="1">
      <alignment horizontal="left" vertical="top" wrapText="1"/>
    </xf>
    <xf numFmtId="0" fontId="40" fillId="0" borderId="0" xfId="0" applyFont="1" applyAlignment="1">
      <alignment vertical="top" wrapText="1"/>
    </xf>
    <xf numFmtId="0" fontId="19"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Alignment="1">
      <alignment vertical="top" wrapText="1"/>
    </xf>
    <xf numFmtId="14" fontId="41" fillId="0" borderId="0" xfId="0" applyNumberFormat="1" applyFont="1" applyAlignment="1">
      <alignment horizontal="right" vertical="top" wrapText="1"/>
    </xf>
    <xf numFmtId="40" fontId="41" fillId="0" borderId="0" xfId="0" applyNumberFormat="1" applyFont="1" applyAlignment="1">
      <alignment horizontal="right" vertical="top" wrapText="1"/>
    </xf>
    <xf numFmtId="14" fontId="22" fillId="0" borderId="3" xfId="0" applyNumberFormat="1" applyFont="1" applyBorder="1" applyAlignment="1">
      <alignment horizontal="right" vertical="top" wrapText="1"/>
    </xf>
    <xf numFmtId="14" fontId="22" fillId="0" borderId="1" xfId="0" applyNumberFormat="1" applyFont="1" applyBorder="1" applyAlignment="1">
      <alignment horizontal="right" vertical="top" wrapText="1"/>
    </xf>
    <xf numFmtId="14" fontId="14" fillId="0" borderId="0" xfId="0" applyNumberFormat="1" applyFont="1" applyBorder="1" applyAlignment="1">
      <alignment vertical="top" wrapText="1"/>
    </xf>
    <xf numFmtId="14" fontId="20" fillId="0" borderId="0" xfId="0" applyNumberFormat="1" applyFont="1" applyBorder="1" applyAlignment="1">
      <alignment vertical="top" wrapText="1"/>
    </xf>
    <xf numFmtId="14" fontId="31" fillId="0" borderId="0" xfId="0" applyNumberFormat="1" applyFont="1" applyBorder="1" applyAlignment="1">
      <alignment horizontal="right" vertical="top"/>
    </xf>
    <xf numFmtId="14" fontId="22" fillId="0" borderId="0" xfId="0" applyNumberFormat="1" applyFont="1" applyBorder="1" applyAlignment="1">
      <alignment horizontal="right" vertical="top"/>
    </xf>
    <xf numFmtId="43" fontId="41" fillId="0" borderId="0" xfId="3" applyFont="1"/>
    <xf numFmtId="43" fontId="41" fillId="0" borderId="27" xfId="3" applyFont="1" applyBorder="1"/>
    <xf numFmtId="43" fontId="41" fillId="0" borderId="28" xfId="3" applyFont="1" applyBorder="1"/>
    <xf numFmtId="43" fontId="41" fillId="0" borderId="26" xfId="3" applyFont="1" applyBorder="1"/>
    <xf numFmtId="0" fontId="19" fillId="0" borderId="0" xfId="0" applyFont="1" applyAlignment="1">
      <alignment horizontal="left" vertical="top" wrapText="1"/>
    </xf>
    <xf numFmtId="0" fontId="19" fillId="0" borderId="0" xfId="0" applyFont="1" applyAlignment="1">
      <alignment horizontal="left" vertical="top" wrapText="1"/>
    </xf>
    <xf numFmtId="0" fontId="42" fillId="0" borderId="0" xfId="0" applyFont="1" applyAlignment="1">
      <alignment horizontal="left" vertical="top" wrapText="1"/>
    </xf>
    <xf numFmtId="0" fontId="42" fillId="0" borderId="0" xfId="0" applyFont="1" applyAlignment="1">
      <alignment vertical="top" wrapText="1"/>
    </xf>
    <xf numFmtId="14" fontId="42" fillId="0" borderId="0" xfId="0" applyNumberFormat="1" applyFont="1" applyAlignment="1">
      <alignment horizontal="right" vertical="top" wrapText="1"/>
    </xf>
    <xf numFmtId="40" fontId="42" fillId="0" borderId="0" xfId="0" applyNumberFormat="1" applyFont="1" applyAlignment="1">
      <alignment horizontal="right" vertical="top" wrapText="1"/>
    </xf>
    <xf numFmtId="0" fontId="24" fillId="0" borderId="0" xfId="0" applyFont="1" applyAlignment="1">
      <alignment horizontal="left" vertical="top" wrapText="1"/>
    </xf>
    <xf numFmtId="40" fontId="16" fillId="0" borderId="14" xfId="0" applyNumberFormat="1" applyFont="1" applyBorder="1" applyAlignment="1">
      <alignment horizontal="center" vertical="center" wrapText="1"/>
    </xf>
    <xf numFmtId="40" fontId="16" fillId="0" borderId="0" xfId="0" applyNumberFormat="1" applyFont="1" applyBorder="1" applyAlignment="1">
      <alignment horizontal="center" vertical="center" wrapText="1"/>
    </xf>
    <xf numFmtId="40" fontId="20" fillId="0" borderId="0" xfId="0" applyNumberFormat="1" applyFont="1" applyBorder="1" applyAlignment="1">
      <alignment horizontal="center" vertical="top" wrapText="1"/>
    </xf>
    <xf numFmtId="40" fontId="25" fillId="4" borderId="15" xfId="1" applyNumberFormat="1" applyFont="1" applyFill="1" applyBorder="1" applyAlignment="1">
      <alignment horizontal="center" vertical="center" wrapText="1"/>
    </xf>
    <xf numFmtId="40" fontId="25" fillId="4" borderId="16" xfId="1" applyNumberFormat="1" applyFont="1" applyFill="1" applyBorder="1" applyAlignment="1">
      <alignment horizontal="center" vertical="center" wrapText="1"/>
    </xf>
    <xf numFmtId="40" fontId="25" fillId="4" borderId="17" xfId="1" applyNumberFormat="1" applyFont="1" applyFill="1" applyBorder="1" applyAlignment="1">
      <alignment horizontal="center" vertical="center" wrapText="1"/>
    </xf>
    <xf numFmtId="0" fontId="26" fillId="0" borderId="0" xfId="0" applyFont="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4" fillId="0" borderId="0" xfId="0" applyFont="1" applyAlignment="1">
      <alignment horizontal="left" vertical="top" wrapText="1"/>
    </xf>
    <xf numFmtId="14" fontId="16" fillId="0" borderId="5" xfId="0" applyNumberFormat="1" applyFont="1" applyBorder="1" applyAlignment="1">
      <alignment horizontal="center" vertical="center" wrapText="1"/>
    </xf>
    <xf numFmtId="14" fontId="16" fillId="0" borderId="11" xfId="0" applyNumberFormat="1" applyFont="1" applyBorder="1" applyAlignment="1">
      <alignment horizontal="center" vertical="center" wrapText="1"/>
    </xf>
    <xf numFmtId="14" fontId="16" fillId="0" borderId="9"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9" fillId="0" borderId="0" xfId="2" applyFont="1" applyFill="1" applyBorder="1" applyAlignment="1">
      <alignment horizontal="left" vertical="top" wrapText="1"/>
    </xf>
    <xf numFmtId="0" fontId="9" fillId="3" borderId="0" xfId="2" applyFont="1" applyFill="1"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7">
    <cellStyle name="Comma" xfId="3" builtinId="3"/>
    <cellStyle name="Comma 2" xfId="6"/>
    <cellStyle name="Currency" xfId="1" builtinId="4"/>
    <cellStyle name="Normal" xfId="0" builtinId="0"/>
    <cellStyle name="Normal 2" xfId="4"/>
    <cellStyle name="Normal 2 2" xfId="5"/>
    <cellStyle name="Normal_Notes" xfId="2"/>
  </cellStyles>
  <dxfs count="146">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Unicode MS"/>
        <scheme val="none"/>
      </font>
      <border diagonalUp="0" diagonalDown="0">
        <left style="thin">
          <color indexed="64"/>
        </left>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right style="thin">
          <color indexed="64"/>
        </right>
        <top/>
        <bottom/>
        <vertical/>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Arial Unicode MS"/>
        <scheme val="none"/>
      </font>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strike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strike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strike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Arial Unicode MS"/>
        <scheme val="none"/>
      </font>
      <alignment vertical="top" textRotation="0" wrapText="1" indent="0" justifyLastLine="0" shrinkToFit="0" readingOrder="0"/>
    </dxf>
    <dxf>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left"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Unicode MS"/>
        <scheme val="none"/>
      </font>
      <alignment horizontal="center" vertical="center" textRotation="0" wrapText="1"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textRotation="0" wrapText="1"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E4DFE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45"/>
      <tableStyleElement type="firstRowStripe" dxfId="144"/>
    </tableStyle>
    <tableStyle name="Table Style 2" pivot="0" count="1">
      <tableStyleElement type="firstRowStripe" dxfId="143"/>
    </tableStyle>
    <tableStyle name="Table Style 3" pivot="0" count="1">
      <tableStyleElement type="firstRowStripe" dxfId="142"/>
    </tableStyle>
    <tableStyle name="Table Style 4" pivot="0" count="3">
      <tableStyleElement type="wholeTable" dxfId="141"/>
      <tableStyleElement type="headerRow" dxfId="140"/>
      <tableStyleElement type="firstRowStripe" dxfId="139"/>
    </tableStyle>
  </tableStyles>
  <colors>
    <mruColors>
      <color rgb="FFE4DFEC"/>
      <color rgb="FFFFFFCC"/>
      <color rgb="FFDBB7FF"/>
      <color rgb="FFD9D9D9"/>
      <color rgb="FFC5D9F1"/>
      <color rgb="FFFABF8F"/>
      <color rgb="FFF2DCDB"/>
      <color rgb="FFACEAAC"/>
      <color rgb="FFC9FFF5"/>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_1" adjustColumnWidth="0" connectionId="1" autoFormatId="16" applyNumberFormats="0" applyBorderFormats="0" applyFontFormats="0" applyPatternFormats="0" applyAlignmentFormats="0" applyWidthHeightFormats="0">
  <queryTableRefresh nextId="25" unboundColumnsRight="2">
    <queryTableFields count="24">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CMAQ" tableColumnId="13"/>
      <queryTableField id="14" name="CMAQ 2_5" tableColumnId="14"/>
      <queryTableField id="15" name="HSIP" tableColumnId="15"/>
      <queryTableField id="16" name="PL" tableColumnId="16"/>
      <queryTableField id="17" name="SPR" tableColumnId="17"/>
      <queryTableField id="18" name="STP OTHER" tableColumnId="18"/>
      <queryTableField id="19" name="STP OVER 200K" tableColumnId="19"/>
      <queryTableField id="20" name="TA OTHER" tableColumnId="20"/>
      <queryTableField id="21" name="TA OVER 200K" tableColumnId="21"/>
      <queryTableField id="23" dataBound="0" tableColumnId="23"/>
      <queryTableField id="24" dataBound="0" tableColumnId="24"/>
    </queryTableFields>
  </queryTableRefresh>
</queryTable>
</file>

<file path=xl/queryTables/queryTable2.xml><?xml version="1.0" encoding="utf-8"?>
<queryTable xmlns="http://schemas.openxmlformats.org/spreadsheetml/2006/main" name="Query from MS Access Database_2" adjustColumnWidth="0" connectionId="4" autoFormatId="16" applyNumberFormats="0" applyBorderFormats="0" applyFontFormats="0" applyPatternFormats="0" applyAlignmentFormats="0" applyWidthHeightFormats="0">
  <queryTableRefresh nextId="25" unboundColumnsRight="2">
    <queryTableFields count="24">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CMAQ" tableColumnId="13"/>
      <queryTableField id="14" name="CMAQ 2_5" tableColumnId="14"/>
      <queryTableField id="15" name="HSIP" tableColumnId="15"/>
      <queryTableField id="16" name="PL" tableColumnId="16"/>
      <queryTableField id="17" name="SPR" tableColumnId="17"/>
      <queryTableField id="18" name="STP OTHER" tableColumnId="18"/>
      <queryTableField id="19" name="STP OVER 200K" tableColumnId="19"/>
      <queryTableField id="20" name="TA OTHER" tableColumnId="20"/>
      <queryTableField id="21" name="TA OVER 200K" tableColumnId="21"/>
      <queryTableField id="23" dataBound="0" tableColumnId="23"/>
      <queryTableField id="24" dataBound="0" tableColumnId="24"/>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3">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rom" tableColumnId="4"/>
      <queryTableField id="20" name="To" tableColumnId="5"/>
      <queryTableField id="21" name="Project8" tableColumnId="7"/>
      <queryTableField id="22" name="Notes" tableColumnId="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7">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23" name="From" tableColumnId="43"/>
      <queryTableField id="24" name="To" tableColumnId="44"/>
      <queryTableField id="25" name="Project8" tableColumnId="45"/>
      <queryTableField id="26" name="Notes" tableColumnId="46"/>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X14" totalsRowShown="0" headerRowDxfId="138" dataDxfId="136" headerRowBorderDxfId="137" tableBorderDxfId="135" totalsRowBorderDxfId="134" headerRowCellStyle="Currency">
  <autoFilter ref="M3:X14"/>
  <tableColumns count="12">
    <tableColumn id="1" name="Description" dataDxfId="133"/>
    <tableColumn id="9" name="CMAQ" dataDxfId="132"/>
    <tableColumn id="3" name="CMAQ 2_5" dataDxfId="131"/>
    <tableColumn id="4" name="HSIP/3" dataDxfId="130"/>
    <tableColumn id="2" name="PL" dataDxfId="129"/>
    <tableColumn id="5" name="SPR /4" dataDxfId="128"/>
    <tableColumn id="6" name="STP other" dataDxfId="127"/>
    <tableColumn id="11" name="STP OVER 200K" dataDxfId="126"/>
    <tableColumn id="12" name="TA OTHER" dataDxfId="125"/>
    <tableColumn id="13" name="TA OVER 200K" dataDxfId="124"/>
    <tableColumn id="7" name="Total" dataDxfId="123">
      <calculatedColumnFormula>SUM(Table1[[#This Row],[CMAQ]:[TA OVER 200K]])</calculatedColumnFormula>
    </tableColumn>
    <tableColumn id="8" name="FFY OBLIGATION AUTHORITY /2" dataDxfId="122"/>
  </tableColumns>
  <tableStyleInfo name="Table Style 4" showFirstColumn="0" showLastColumn="0" showRowStripes="1" showColumnStripes="0"/>
</table>
</file>

<file path=xl/tables/table2.xml><?xml version="1.0" encoding="utf-8"?>
<table xmlns="http://schemas.openxmlformats.org/spreadsheetml/2006/main" id="2" name="Table_Query_from_MS_Access_Database_1" displayName="Table_Query_from_MS_Access_Database_1" ref="A17:X150" tableType="queryTable" totalsRowShown="0" headerRowDxfId="121" dataDxfId="120" tableBorderDxfId="119">
  <autoFilter ref="A17:X150"/>
  <sortState ref="A18:X150">
    <sortCondition ref="M17:M146"/>
  </sortState>
  <tableColumns count="24">
    <tableColumn id="1" uniqueName="1" name="ADOT#" queryTableFieldId="1" dataDxfId="118"/>
    <tableColumn id="2" uniqueName="2" name="TIP#" queryTableFieldId="2" dataDxfId="117"/>
    <tableColumn id="3" uniqueName="3" name="Sponsor" queryTableFieldId="3" dataDxfId="116"/>
    <tableColumn id="4" uniqueName="4" name="Action/15" queryTableFieldId="4" dataDxfId="115"/>
    <tableColumn id="5" uniqueName="5" name="Location" queryTableFieldId="5" dataDxfId="114"/>
    <tableColumn id="6" uniqueName="6" name="RTE" queryTableFieldId="6" dataDxfId="113"/>
    <tableColumn id="7" uniqueName="7" name="SEC" queryTableFieldId="7" dataDxfId="112"/>
    <tableColumn id="8" uniqueName="8" name="SEQ" queryTableFieldId="8" dataDxfId="111"/>
    <tableColumn id="22" uniqueName="22" name="FED #" queryTableFieldId="22" dataDxfId="110">
      <calculatedColumnFormula>+CONCATENATE(Table_Query_from_MS_Access_Database_1[[#This Row],[RTE]],Table_Query_from_MS_Access_Database_1[[#This Row],[SEC]],Table_Query_from_MS_Access_Database_1[[#This Row],[SEQ]])</calculatedColumnFormula>
    </tableColumn>
    <tableColumn id="9" uniqueName="9" name="PB Expected" queryTableFieldId="9" dataDxfId="109"/>
    <tableColumn id="10" uniqueName="10" name="PB Received" queryTableFieldId="10" dataDxfId="108"/>
    <tableColumn id="11" uniqueName="11" name="PF Transmitted" queryTableFieldId="11" dataDxfId="107"/>
    <tableColumn id="12" uniqueName="12" name="Finance Authorization" queryTableFieldId="12" dataDxfId="106"/>
    <tableColumn id="13" uniqueName="13" name="CMAQ" queryTableFieldId="13" dataDxfId="105"/>
    <tableColumn id="14" uniqueName="14" name="CMAQ 2_5" queryTableFieldId="14" dataDxfId="104"/>
    <tableColumn id="15" uniqueName="15" name="HSIP" queryTableFieldId="15" dataDxfId="103"/>
    <tableColumn id="16" uniqueName="16" name="PL" queryTableFieldId="16" dataDxfId="102"/>
    <tableColumn id="17" uniqueName="17" name="SPR" queryTableFieldId="17" dataDxfId="101"/>
    <tableColumn id="18" uniqueName="18" name="STP OTHER" queryTableFieldId="18" dataDxfId="100"/>
    <tableColumn id="19" uniqueName="19" name="STP OVER 200K" queryTableFieldId="19" dataDxfId="99"/>
    <tableColumn id="20" uniqueName="20" name="TA OTHER" queryTableFieldId="20" dataDxfId="98"/>
    <tableColumn id="21" uniqueName="21" name="TA OVER 200K" queryTableFieldId="21" dataDxfId="97"/>
    <tableColumn id="23" uniqueName="23" name="TOTAL OF AMOUNT" queryTableFieldId="23" dataDxfId="96">
      <calculatedColumnFormula>+SUM(Table_Query_from_MS_Access_Database_1[[#This Row],[CMAQ]:[TA OVER 200K]])</calculatedColumnFormula>
    </tableColumn>
    <tableColumn id="24" uniqueName="24" name="DECLINING BALANCE OA" queryTableFieldId="24" dataDxfId="95">
      <calculatedColumnFormula>X14-Table_Query_from_MS_Access_Database_1[TOTAL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3" name="Table_Query_from_MS_Access_Database_2" displayName="Table_Query_from_MS_Access_Database_2" ref="A155:X156" tableType="queryTable" totalsRowShown="0" headerRowDxfId="94" dataDxfId="93" tableBorderDxfId="92">
  <autoFilter ref="A155:X156"/>
  <sortState ref="A152:X152">
    <sortCondition ref="C30:C98"/>
  </sortState>
  <tableColumns count="24">
    <tableColumn id="1" uniqueName="1" name="ADOT#" queryTableFieldId="1" dataDxfId="91"/>
    <tableColumn id="2" uniqueName="2" name="TIP#" queryTableFieldId="2" dataDxfId="90"/>
    <tableColumn id="3" uniqueName="3" name="Sponsor" queryTableFieldId="3" dataDxfId="89"/>
    <tableColumn id="4" uniqueName="4" name="Action/15" queryTableFieldId="4" dataDxfId="88"/>
    <tableColumn id="5" uniqueName="5" name="Location" queryTableFieldId="5" dataDxfId="87"/>
    <tableColumn id="6" uniqueName="6" name="RTE" queryTableFieldId="6" dataDxfId="86"/>
    <tableColumn id="7" uniqueName="7" name="SEC" queryTableFieldId="7" dataDxfId="85"/>
    <tableColumn id="8" uniqueName="8" name="SEQ" queryTableFieldId="8" dataDxfId="84"/>
    <tableColumn id="22" uniqueName="22" name="FED #" queryTableFieldId="22" dataDxfId="83">
      <calculatedColumnFormula>CONCATENATE(Table_Query_from_MS_Access_Database_2[[#This Row],[RTE]],Table_Query_from_MS_Access_Database_2[[#This Row],[SEC]],Table_Query_from_MS_Access_Database_2[[#This Row],[SEQ]])</calculatedColumnFormula>
    </tableColumn>
    <tableColumn id="9" uniqueName="9" name="PB Expected" queryTableFieldId="9" dataDxfId="82"/>
    <tableColumn id="10" uniqueName="10" name="PB Received" queryTableFieldId="10" dataDxfId="81"/>
    <tableColumn id="11" uniqueName="11" name="PF Transmitted" queryTableFieldId="11" dataDxfId="80"/>
    <tableColumn id="12" uniqueName="12" name="Finance Authorization" queryTableFieldId="12" dataDxfId="79"/>
    <tableColumn id="13" uniqueName="13" name="CMAQ" queryTableFieldId="13" dataDxfId="78"/>
    <tableColumn id="14" uniqueName="14" name="CMAQ 2_5" queryTableFieldId="14" dataDxfId="77"/>
    <tableColumn id="15" uniqueName="15" name="HSIP" queryTableFieldId="15" dataDxfId="76"/>
    <tableColumn id="16" uniqueName="16" name="PL" queryTableFieldId="16" dataDxfId="75"/>
    <tableColumn id="17" uniqueName="17" name="SPR" queryTableFieldId="17" dataDxfId="74"/>
    <tableColumn id="18" uniqueName="18" name="STP OTHER" queryTableFieldId="18" dataDxfId="73"/>
    <tableColumn id="19" uniqueName="19" name="STP OVER 200K" queryTableFieldId="19" dataDxfId="72"/>
    <tableColumn id="20" uniqueName="20" name="TA OTHER" queryTableFieldId="20" dataDxfId="71"/>
    <tableColumn id="21" uniqueName="21" name="TA OVER 200K" queryTableFieldId="21" dataDxfId="70"/>
    <tableColumn id="23" uniqueName="23" name="TOTAL OF AMOUNT" queryTableFieldId="23" dataDxfId="69">
      <calculatedColumnFormula>SUM(Table_Query_from_MS_Access_Database_2[[CMAQ]:[TA OVER 200K]])</calculatedColumnFormula>
    </tableColumn>
    <tableColumn id="24" uniqueName="24" name="EXPECTED DECLINING BALANCE OA" queryTableFieldId="24" dataDxfId="68">
      <calculatedColumnFormula>X150-Table_Query_from_MS_Access_Database_2[TOTAL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6" name="Table6" displayName="Table6" ref="N162:X166" totalsRowShown="0" headerRowDxfId="67" dataDxfId="65" headerRowBorderDxfId="66" tableBorderDxfId="64" totalsRowBorderDxfId="63" headerRowCellStyle="Currency">
  <autoFilter ref="N162:X166"/>
  <tableColumns count="11">
    <tableColumn id="1" name="CMAQ" dataDxfId="62">
      <calculatedColumnFormula>+N162-#REF!</calculatedColumnFormula>
    </tableColumn>
    <tableColumn id="2" name="CMAQ 2_5" dataDxfId="61">
      <calculatedColumnFormula>+O162-#REF!</calculatedColumnFormula>
    </tableColumn>
    <tableColumn id="3" name="HSIP/3" dataDxfId="60">
      <calculatedColumnFormula>+P162-#REF!</calculatedColumnFormula>
    </tableColumn>
    <tableColumn id="4" name="PL" dataDxfId="59">
      <calculatedColumnFormula>+Q162-#REF!</calculatedColumnFormula>
    </tableColumn>
    <tableColumn id="5" name="SPR /4" dataDxfId="58">
      <calculatedColumnFormula>+R162-#REF!</calculatedColumnFormula>
    </tableColumn>
    <tableColumn id="6" name="STP other" dataDxfId="57">
      <calculatedColumnFormula>+#REF!-S162</calculatedColumnFormula>
    </tableColumn>
    <tableColumn id="7" name="STP OVER 200K" dataDxfId="56">
      <calculatedColumnFormula>+#REF!-T162</calculatedColumnFormula>
    </tableColumn>
    <tableColumn id="8" name="TA OTHER" dataDxfId="55">
      <calculatedColumnFormula>+#REF!-U162</calculatedColumnFormula>
    </tableColumn>
    <tableColumn id="9" name="TA OVER 200K" dataDxfId="54">
      <calculatedColumnFormula>+#REF!-V162</calculatedColumnFormula>
    </tableColumn>
    <tableColumn id="10" name="Total" dataDxfId="53">
      <calculatedColumnFormula>+SUM(Table6[[#This Row],[CMAQ]:[TA OVER 200K]])</calculatedColumnFormula>
    </tableColumn>
    <tableColumn id="11" name="OA" dataDxfId="52">
      <calculatedColumnFormula>+#REF!-X162</calculatedColumnFormula>
    </tableColumn>
  </tableColumns>
  <tableStyleInfo name="Table Style 4" showFirstColumn="0" showLastColumn="0" showRowStripes="1" showColumnStripes="0"/>
</table>
</file>

<file path=xl/tables/table5.xml><?xml version="1.0" encoding="utf-8"?>
<table xmlns="http://schemas.openxmlformats.org/spreadsheetml/2006/main" id="4" name="Table_Query_from_MS_Access_Database" displayName="Table_Query_from_MS_Access_Database" ref="A11:R45" tableType="queryTable" totalsRowShown="0" headerRowDxfId="51" dataDxfId="49" headerRowBorderDxfId="50" tableBorderDxfId="48" totalsRowBorderDxfId="47" headerRowCellStyle="Comma" dataCellStyle="Comma">
  <autoFilter ref="A11:R45"/>
  <tableColumns count="18">
    <tableColumn id="1" uniqueName="1" name="Transaction Year" queryTableFieldId="1" dataDxfId="46" dataCellStyle="Comma"/>
    <tableColumn id="2" uniqueName="2" name="Transaction Type" queryTableFieldId="2" dataDxfId="45" dataCellStyle="Comma"/>
    <tableColumn id="3" uniqueName="3" name="Number" queryTableFieldId="3" dataDxfId="44" dataCellStyle="Comma"/>
    <tableColumn id="6" uniqueName="6" name="Repayment Year" queryTableFieldId="6" dataDxfId="43" dataCellStyle="Comma"/>
    <tableColumn id="9" uniqueName="9" name="Total" queryTableFieldId="9" dataDxfId="42" dataCellStyle="Comma"/>
    <tableColumn id="10" uniqueName="10" name="CMAQ" queryTableFieldId="10" dataDxfId="41" dataCellStyle="Comma"/>
    <tableColumn id="11" uniqueName="11" name="CMAQ 2_5" queryTableFieldId="11" dataDxfId="40" dataCellStyle="Comma"/>
    <tableColumn id="12" uniqueName="12" name="HSIP" queryTableFieldId="12" dataDxfId="39" dataCellStyle="Comma"/>
    <tableColumn id="13" uniqueName="13" name="PL" queryTableFieldId="13" dataDxfId="38" dataCellStyle="Comma"/>
    <tableColumn id="14" uniqueName="14" name="SPR" queryTableFieldId="14" dataDxfId="37" dataCellStyle="Comma"/>
    <tableColumn id="15" uniqueName="15" name="STP other" queryTableFieldId="15" dataDxfId="36" dataCellStyle="Comma"/>
    <tableColumn id="16" uniqueName="16" name="STP over 200K" queryTableFieldId="16" dataDxfId="35" dataCellStyle="Comma"/>
    <tableColumn id="17" uniqueName="17" name="TA other" queryTableFieldId="17" dataDxfId="34" dataCellStyle="Comma"/>
    <tableColumn id="18" uniqueName="18" name="TA over 200K" queryTableFieldId="18" dataDxfId="33" dataCellStyle="Comma"/>
    <tableColumn id="4" uniqueName="4" name="From" queryTableFieldId="19" dataDxfId="32" dataCellStyle="Comma"/>
    <tableColumn id="5" uniqueName="5" name="To" queryTableFieldId="20" dataDxfId="31" dataCellStyle="Comma"/>
    <tableColumn id="7" uniqueName="7" name="Project8" queryTableFieldId="21" dataDxfId="30" dataCellStyle="Comma"/>
    <tableColumn id="8" uniqueName="8" name="Notes" queryTableFieldId="22" dataDxfId="29" dataCellStyle="Comma"/>
  </tableColumns>
  <tableStyleInfo name="Table Style 4" showFirstColumn="0" showLastColumn="0" showRowStripes="1" showColumnStripes="0"/>
</table>
</file>

<file path=xl/tables/table6.xml><?xml version="1.0" encoding="utf-8"?>
<table xmlns="http://schemas.openxmlformats.org/spreadsheetml/2006/main" id="5" name="Table_Query_from_MS_Access_Database_16" displayName="Table_Query_from_MS_Access_Database_16" ref="A48:R76" tableType="queryTable" totalsRowShown="0" headerRowDxfId="28" dataDxfId="27" tableBorderDxfId="26" headerRowCellStyle="Comma" dataCellStyle="Comma">
  <autoFilter ref="A48:R76"/>
  <tableColumns count="18">
    <tableColumn id="1" uniqueName="1" name="Transaction Year" queryTableFieldId="1" dataDxfId="25" dataCellStyle="Comma"/>
    <tableColumn id="2" uniqueName="2" name="Transaction Type" queryTableFieldId="2" dataDxfId="24" dataCellStyle="Comma"/>
    <tableColumn id="3" uniqueName="3" name="Number" queryTableFieldId="3" dataDxfId="23" dataCellStyle="Comma"/>
    <tableColumn id="6" uniqueName="6" name="Repayment Year" queryTableFieldId="6" dataDxfId="22" dataCellStyle="Comma"/>
    <tableColumn id="9" uniqueName="9" name="Total" queryTableFieldId="9" dataDxfId="21" dataCellStyle="Comma"/>
    <tableColumn id="10" uniqueName="10" name="CMAQ" queryTableFieldId="10" dataDxfId="20" dataCellStyle="Comma"/>
    <tableColumn id="11" uniqueName="11" name="CMAQ 2_5" queryTableFieldId="11" dataDxfId="19" dataCellStyle="Comma"/>
    <tableColumn id="12" uniqueName="12" name="HSIP" queryTableFieldId="12" dataDxfId="18" dataCellStyle="Comma"/>
    <tableColumn id="13" uniqueName="13" name="PL" queryTableFieldId="13" dataDxfId="17" dataCellStyle="Comma"/>
    <tableColumn id="14" uniqueName="14" name="SPR" queryTableFieldId="14" dataDxfId="16" dataCellStyle="Comma"/>
    <tableColumn id="15" uniqueName="15" name="STP other" queryTableFieldId="15" dataDxfId="15" dataCellStyle="Comma"/>
    <tableColumn id="16" uniqueName="16" name="STP over 200K" queryTableFieldId="16" dataDxfId="14" dataCellStyle="Comma"/>
    <tableColumn id="17" uniqueName="17" name="TA other" queryTableFieldId="17" dataDxfId="13" dataCellStyle="Comma"/>
    <tableColumn id="18" uniqueName="18" name="TA over 200K" queryTableFieldId="18" dataDxfId="12" dataCellStyle="Comma"/>
    <tableColumn id="43" uniqueName="43" name="From" queryTableFieldId="23" dataDxfId="11" dataCellStyle="Comma"/>
    <tableColumn id="44" uniqueName="44" name="To" queryTableFieldId="24" dataDxfId="10" dataCellStyle="Comma"/>
    <tableColumn id="45" uniqueName="45" name="Project8" queryTableFieldId="25" dataDxfId="9" dataCellStyle="Comma"/>
    <tableColumn id="46" uniqueName="46" name="Notes" queryTableFieldId="26" dataDxfId="8" dataCellStyle="Comma"/>
  </tableColumns>
  <tableStyleInfo name="Table Style 4" showFirstColumn="0" showLastColumn="0" showRowStripes="1" showColumnStripes="0"/>
</table>
</file>

<file path=xl/tables/table7.xml><?xml version="1.0" encoding="utf-8"?>
<table xmlns="http://schemas.openxmlformats.org/spreadsheetml/2006/main" id="9" name="Table9" displayName="Table9" ref="A79:F89" totalsRowShown="0" headerRowDxfId="7" dataDxfId="6" headerRowCellStyle="Comma" dataCellStyle="Comma">
  <autoFilter ref="A79:F89"/>
  <tableColumns count="6">
    <tableColumn id="1" name="PROJECT 8" dataDxfId="5" dataCellStyle="Comma"/>
    <tableColumn id="2" name="GAN YEAR" dataDxfId="4" dataCellStyle="Comma"/>
    <tableColumn id="3" name="FUNDING TYPE" dataDxfId="3" dataCellStyle="Comma"/>
    <tableColumn id="4" name=" APPORTIONMENT_AMOUNT " dataDxfId="2" dataCellStyle="Comma"/>
    <tableColumn id="5" name="OA Amount" dataDxfId="1" dataCellStyle="Comma"/>
    <tableColumn id="6" name="Notes"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 Id="rId4" Type="http://schemas.openxmlformats.org/officeDocument/2006/relationships/table" Target="../tables/table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166"/>
  <sheetViews>
    <sheetView tabSelected="1" zoomScale="90" zoomScaleNormal="90" zoomScaleSheetLayoutView="25" workbookViewId="0">
      <selection sqref="A1:F1"/>
    </sheetView>
  </sheetViews>
  <sheetFormatPr defaultColWidth="32" defaultRowHeight="15.6" x14ac:dyDescent="0.3"/>
  <cols>
    <col min="1" max="1" width="12.6640625" style="32" customWidth="1"/>
    <col min="2" max="4" width="15.6640625" style="32" customWidth="1"/>
    <col min="5" max="5" width="40.6640625" style="32" customWidth="1"/>
    <col min="6" max="6" width="9.109375" style="32" hidden="1" customWidth="1"/>
    <col min="7" max="8" width="9.33203125" style="32" hidden="1" customWidth="1"/>
    <col min="9" max="9" width="11.77734375" style="32" customWidth="1"/>
    <col min="10" max="12" width="15.6640625" style="62" customWidth="1"/>
    <col min="13" max="13" width="24.6640625" style="62" customWidth="1"/>
    <col min="14" max="19" width="14.6640625" style="34" customWidth="1"/>
    <col min="20" max="20" width="16.6640625" style="34" customWidth="1"/>
    <col min="21" max="22" width="14.6640625" style="34" customWidth="1"/>
    <col min="23" max="23" width="16.6640625" style="34" customWidth="1"/>
    <col min="24" max="24" width="18.6640625" style="32" customWidth="1"/>
    <col min="25" max="25" width="2.6640625" style="32" bestFit="1" customWidth="1"/>
    <col min="26" max="16384" width="32" style="32"/>
  </cols>
  <sheetData>
    <row r="1" spans="1:25" ht="24" thickBot="1" x14ac:dyDescent="0.35">
      <c r="A1" s="235" t="s">
        <v>102</v>
      </c>
      <c r="B1" s="235"/>
      <c r="C1" s="235"/>
      <c r="D1" s="235"/>
      <c r="E1" s="235"/>
      <c r="F1" s="235"/>
      <c r="K1" s="33"/>
      <c r="M1" s="63"/>
      <c r="N1" s="229" t="s">
        <v>87</v>
      </c>
      <c r="O1" s="229"/>
      <c r="P1" s="229"/>
      <c r="Q1" s="229"/>
      <c r="R1" s="229"/>
      <c r="S1" s="229"/>
      <c r="T1" s="229"/>
      <c r="U1" s="229"/>
      <c r="V1" s="229"/>
      <c r="W1" s="229"/>
      <c r="X1" s="230"/>
    </row>
    <row r="2" spans="1:25" x14ac:dyDescent="0.3">
      <c r="M2" s="63"/>
      <c r="N2" s="232" t="s">
        <v>12</v>
      </c>
      <c r="O2" s="233"/>
      <c r="P2" s="233"/>
      <c r="Q2" s="233"/>
      <c r="R2" s="233"/>
      <c r="S2" s="233"/>
      <c r="T2" s="233"/>
      <c r="U2" s="233"/>
      <c r="V2" s="233"/>
      <c r="W2" s="234"/>
      <c r="X2" s="67"/>
      <c r="Y2" s="37"/>
    </row>
    <row r="3" spans="1:25" ht="26.4" x14ac:dyDescent="0.3">
      <c r="A3" s="237" t="s">
        <v>90</v>
      </c>
      <c r="B3" s="237"/>
      <c r="C3" s="237"/>
      <c r="D3" s="237"/>
      <c r="E3" s="38"/>
      <c r="F3" s="38"/>
      <c r="G3" s="38"/>
      <c r="M3" s="69" t="s">
        <v>11</v>
      </c>
      <c r="N3" s="55" t="s">
        <v>43</v>
      </c>
      <c r="O3" s="55" t="s">
        <v>44</v>
      </c>
      <c r="P3" s="55" t="s">
        <v>68</v>
      </c>
      <c r="Q3" s="55" t="s">
        <v>45</v>
      </c>
      <c r="R3" s="55" t="s">
        <v>63</v>
      </c>
      <c r="S3" s="55" t="s">
        <v>6</v>
      </c>
      <c r="T3" s="55" t="s">
        <v>103</v>
      </c>
      <c r="U3" s="55" t="s">
        <v>104</v>
      </c>
      <c r="V3" s="55" t="s">
        <v>105</v>
      </c>
      <c r="W3" s="55" t="s">
        <v>10</v>
      </c>
      <c r="X3" s="70" t="s">
        <v>15</v>
      </c>
      <c r="Y3" s="36"/>
    </row>
    <row r="4" spans="1:25" s="102" customFormat="1" ht="26.4" x14ac:dyDescent="0.3">
      <c r="A4" s="238" t="s">
        <v>263</v>
      </c>
      <c r="B4" s="238"/>
      <c r="C4" s="238"/>
      <c r="D4" s="238"/>
      <c r="E4" s="107"/>
      <c r="F4" s="107"/>
      <c r="G4" s="107"/>
      <c r="J4" s="108"/>
      <c r="K4" s="108"/>
      <c r="L4" s="108"/>
      <c r="M4" s="109" t="s">
        <v>163</v>
      </c>
      <c r="N4" s="142">
        <v>4611351.07</v>
      </c>
      <c r="O4" s="142">
        <v>387428</v>
      </c>
      <c r="P4" s="142">
        <v>0</v>
      </c>
      <c r="Q4" s="142">
        <v>0</v>
      </c>
      <c r="R4" s="142">
        <v>0</v>
      </c>
      <c r="S4" s="143">
        <v>0</v>
      </c>
      <c r="T4" s="143">
        <f>0.32+28251903+18860070</f>
        <v>47111973.32</v>
      </c>
      <c r="U4" s="143"/>
      <c r="V4" s="143">
        <v>4625412.2200000007</v>
      </c>
      <c r="W4" s="143">
        <f>SUM(Table1[[#This Row],[CMAQ]:[TA OVER 200K]])</f>
        <v>56736164.609999999</v>
      </c>
      <c r="X4" s="144">
        <v>862680.38</v>
      </c>
      <c r="Y4" s="110"/>
    </row>
    <row r="5" spans="1:25" s="102" customFormat="1" ht="26.4" x14ac:dyDescent="0.3">
      <c r="A5" s="162" t="s">
        <v>162</v>
      </c>
      <c r="B5" s="117"/>
      <c r="C5" s="118">
        <v>43008</v>
      </c>
      <c r="D5" s="141"/>
      <c r="E5" s="107"/>
      <c r="F5" s="107"/>
      <c r="G5" s="107"/>
      <c r="J5" s="64"/>
      <c r="K5" s="108"/>
      <c r="L5" s="108"/>
      <c r="M5" s="109" t="s">
        <v>192</v>
      </c>
      <c r="N5" s="143">
        <v>0</v>
      </c>
      <c r="O5" s="143">
        <v>0</v>
      </c>
      <c r="P5" s="142">
        <v>0</v>
      </c>
      <c r="Q5" s="143">
        <v>0</v>
      </c>
      <c r="R5" s="142">
        <v>0</v>
      </c>
      <c r="S5" s="143">
        <v>0</v>
      </c>
      <c r="T5" s="143">
        <f>950020.82+0.26+0.65</f>
        <v>950021.73</v>
      </c>
      <c r="U5" s="143">
        <v>0</v>
      </c>
      <c r="V5" s="143">
        <v>0</v>
      </c>
      <c r="W5" s="143">
        <f>SUM(Table1[[#This Row],[CMAQ]:[TA OVER 200K]])</f>
        <v>950021.73</v>
      </c>
      <c r="X5" s="144">
        <v>0</v>
      </c>
      <c r="Y5" s="110"/>
    </row>
    <row r="6" spans="1:25" s="102" customFormat="1" ht="26.4" x14ac:dyDescent="0.3">
      <c r="A6" s="117"/>
      <c r="B6" s="117"/>
      <c r="C6" s="118"/>
      <c r="J6" s="64"/>
      <c r="K6" s="108"/>
      <c r="L6" s="108"/>
      <c r="M6" s="111" t="s">
        <v>207</v>
      </c>
      <c r="N6" s="143">
        <v>50172285</v>
      </c>
      <c r="O6" s="143">
        <v>717539</v>
      </c>
      <c r="P6" s="143">
        <v>1908291</v>
      </c>
      <c r="Q6" s="143">
        <v>4043401</v>
      </c>
      <c r="R6" s="143">
        <f>Notes!D13</f>
        <v>1250000</v>
      </c>
      <c r="S6" s="143">
        <f>2603773+1220668</f>
        <v>3824441</v>
      </c>
      <c r="T6" s="143">
        <v>55511096</v>
      </c>
      <c r="U6" s="143">
        <f>349168+153739</f>
        <v>502907</v>
      </c>
      <c r="V6" s="143">
        <v>4390945</v>
      </c>
      <c r="W6" s="143">
        <f>SUM(Table1[[#This Row],[CMAQ]:[TA OVER 200K]])</f>
        <v>122320905</v>
      </c>
      <c r="X6" s="145">
        <f>ROUND(Table1[[#This Row],[Total]]*0.949,0)</f>
        <v>116082539</v>
      </c>
      <c r="Y6" s="112" t="s">
        <v>70</v>
      </c>
    </row>
    <row r="7" spans="1:25" s="102" customFormat="1" ht="13.2" x14ac:dyDescent="0.3">
      <c r="J7" s="108"/>
      <c r="K7" s="108"/>
      <c r="L7" s="108"/>
      <c r="M7" s="111" t="s">
        <v>78</v>
      </c>
      <c r="N7" s="143">
        <f>SUMIFS(Table_Query_from_MS_Access_Database[[#All],[CMAQ]],Table_Query_from_MS_Access_Database[[#All],[Transaction Year]],"2017",Table_Query_from_MS_Access_Database[[#All],[Transaction Type]],"loan in")</f>
        <v>0</v>
      </c>
      <c r="O7" s="143">
        <f>SUMIFS(Table_Query_from_MS_Access_Database[[#All],[CMAQ 2_5]],Table_Query_from_MS_Access_Database[[#All],[Transaction Year]],"2017",Table_Query_from_MS_Access_Database[[#All],[Transaction Type]],"loan in")</f>
        <v>0</v>
      </c>
      <c r="P7" s="143">
        <f>SUMIFS(Table_Query_from_MS_Access_Database[[#All],[HSIP]],Table_Query_from_MS_Access_Database[[#All],[Transaction Year]],"2017",Table_Query_from_MS_Access_Database[[#All],[Transaction Type]],"loan in")</f>
        <v>560000</v>
      </c>
      <c r="Q7" s="143">
        <f>SUMIFS(Table_Query_from_MS_Access_Database[[#All],[PL]],Table_Query_from_MS_Access_Database[[#All],[Transaction Year]],"2017",Table_Query_from_MS_Access_Database[[#All],[Transaction Type]],"loan in")</f>
        <v>0</v>
      </c>
      <c r="R7" s="143">
        <f>SUMIFS(Table_Query_from_MS_Access_Database[[#All],[SPR]],Table_Query_from_MS_Access_Database[[#All],[Transaction Year]],"2017",Table_Query_from_MS_Access_Database[[#All],[Transaction Type]],"loan in")</f>
        <v>0</v>
      </c>
      <c r="S7" s="143">
        <f>SUMIFS(Table_Query_from_MS_Access_Database[[#All],[STP other]],Table_Query_from_MS_Access_Database[[#All],[Transaction Year]],"2017",Table_Query_from_MS_Access_Database[[#All],[Transaction Type]],"loan in")</f>
        <v>1408966</v>
      </c>
      <c r="T7" s="143">
        <f>SUMIFS(Table_Query_from_MS_Access_Database[[#All],[STP over 200K]],Table_Query_from_MS_Access_Database[[#All],[Transaction Year]],"2017",Table_Query_from_MS_Access_Database[[#All],[Transaction Type]],"loan in")</f>
        <v>0</v>
      </c>
      <c r="U7" s="143">
        <f>SUMIFS(Table_Query_from_MS_Access_Database[[#All],[TA other]],Table_Query_from_MS_Access_Database[[#All],[Transaction Year]],"2017",Table_Query_from_MS_Access_Database[[#All],[Transaction Type]],"loan in")</f>
        <v>0</v>
      </c>
      <c r="V7" s="143">
        <f>SUMIFS(Table_Query_from_MS_Access_Database[[#All],[TA over 200K]],Table_Query_from_MS_Access_Database[[#All],[Transaction Year]],"2017",Table_Query_from_MS_Access_Database[[#All],[Transaction Type]],"loan in")</f>
        <v>0</v>
      </c>
      <c r="W7" s="143">
        <f>SUM(Table1[[#This Row],[CMAQ]:[TA OVER 200K]])</f>
        <v>1968966</v>
      </c>
      <c r="X7" s="146">
        <f>SUMIFS(Table_Query_from_MS_Access_Database_16[[#All],[Total]],Table_Query_from_MS_Access_Database_16[[#All],[Transaction Year]],"2017",Table_Query_from_MS_Access_Database_16[[#All],[Transaction Type]],"Loan In")</f>
        <v>1968966</v>
      </c>
      <c r="Y7" s="110"/>
    </row>
    <row r="8" spans="1:25" s="102" customFormat="1" ht="13.2" x14ac:dyDescent="0.3">
      <c r="A8" s="113"/>
      <c r="J8" s="108"/>
      <c r="K8" s="108"/>
      <c r="L8" s="108"/>
      <c r="M8" s="111" t="s">
        <v>79</v>
      </c>
      <c r="N8" s="143">
        <f>SUMIFS(Table_Query_from_MS_Access_Database[[#All],[CMAQ]],Table_Query_from_MS_Access_Database[[#All],[Transaction Year]],"2017",Table_Query_from_MS_Access_Database[[#All],[Transaction Type]],"loan Out")</f>
        <v>0</v>
      </c>
      <c r="O8" s="143">
        <f>SUMIFS(Table_Query_from_MS_Access_Database[[#All],[CMAQ 2_5]],Table_Query_from_MS_Access_Database[[#All],[Transaction Year]],"2017",Table_Query_from_MS_Access_Database[[#All],[Transaction Type]],"loan Out")</f>
        <v>0</v>
      </c>
      <c r="P8" s="143">
        <f>SUMIFS(Table_Query_from_MS_Access_Database[[#All],[HSIP]],Table_Query_from_MS_Access_Database[[#All],[Transaction Year]],"2017",Table_Query_from_MS_Access_Database[[#All],[Transaction Type]],"loan Out")</f>
        <v>0</v>
      </c>
      <c r="Q8" s="143">
        <f>SUMIFS(Table_Query_from_MS_Access_Database[[#All],[PL]],Table_Query_from_MS_Access_Database[[#All],[Transaction Year]],"2017",Table_Query_from_MS_Access_Database[[#All],[Transaction Type]],"loan Out")</f>
        <v>0</v>
      </c>
      <c r="R8" s="143">
        <f>SUMIFS(Table_Query_from_MS_Access_Database[[#All],[SPR]],Table_Query_from_MS_Access_Database[[#All],[Transaction Year]],"2017",Table_Query_from_MS_Access_Database[[#All],[Transaction Type]],"loan Out")</f>
        <v>0</v>
      </c>
      <c r="S8" s="143">
        <f>SUMIFS(Table_Query_from_MS_Access_Database[[#All],[STP other]],Table_Query_from_MS_Access_Database[[#All],[Transaction Year]],"2017",Table_Query_from_MS_Access_Database[[#All],[Transaction Type]],"loan Out")</f>
        <v>0</v>
      </c>
      <c r="T8" s="143">
        <f>SUMIFS(Table_Query_from_MS_Access_Database[[#All],[STP over 200K]],Table_Query_from_MS_Access_Database[[#All],[Transaction Year]],"2017",Table_Query_from_MS_Access_Database[[#All],[Transaction Type]],"loan Out")</f>
        <v>0</v>
      </c>
      <c r="U8" s="143">
        <f>SUMIFS(Table_Query_from_MS_Access_Database[[#All],[TA other]],Table_Query_from_MS_Access_Database[[#All],[Transaction Year]],"2017",Table_Query_from_MS_Access_Database[[#All],[Transaction Type]],"loan Out")</f>
        <v>0</v>
      </c>
      <c r="V8" s="143">
        <f>SUMIFS(Table_Query_from_MS_Access_Database[[#All],[TA over 200K]],Table_Query_from_MS_Access_Database[[#All],[Transaction Year]],"2017",Table_Query_from_MS_Access_Database[[#All],[Transaction Type]],"loan Out")</f>
        <v>0</v>
      </c>
      <c r="W8" s="143">
        <f>SUM(Table1[[#This Row],[CMAQ]:[TA OVER 200K]])</f>
        <v>0</v>
      </c>
      <c r="X8" s="146">
        <f>SUMIFS(Table_Query_from_MS_Access_Database_16[[#All],[Total]],Table_Query_from_MS_Access_Database_16[[#All],[Transaction Year]],"2017",Table_Query_from_MS_Access_Database_16[[#All],[Transaction Type]],"Loan Out")</f>
        <v>0</v>
      </c>
      <c r="Y8" s="110"/>
    </row>
    <row r="9" spans="1:25" s="102" customFormat="1" ht="13.2" x14ac:dyDescent="0.3">
      <c r="J9" s="108"/>
      <c r="K9" s="108"/>
      <c r="L9" s="108"/>
      <c r="M9" s="109" t="s">
        <v>80</v>
      </c>
      <c r="N9" s="143">
        <f>SUMIFS(Table_Query_from_MS_Access_Database[[#All],[CMAQ]],Table_Query_from_MS_Access_Database[[#All],[Transaction Year]],"2017",Table_Query_from_MS_Access_Database[[#All],[Transaction Type]],"repayment in")</f>
        <v>0</v>
      </c>
      <c r="O9" s="143">
        <f>SUMIFS(Table_Query_from_MS_Access_Database[[#All],[CMAQ 2_5]],Table_Query_from_MS_Access_Database[[#All],[Transaction Year]],"2017",Table_Query_from_MS_Access_Database[[#All],[Transaction Type]],"repayment in")</f>
        <v>0</v>
      </c>
      <c r="P9" s="143">
        <f>SUMIFS(Table_Query_from_MS_Access_Database[[#All],[HSIP]],Table_Query_from_MS_Access_Database[[#All],[Transaction Year]],"2017",Table_Query_from_MS_Access_Database[[#All],[Transaction Type]],"repayment in")</f>
        <v>449400</v>
      </c>
      <c r="Q9" s="143">
        <f>SUMIFS(Table_Query_from_MS_Access_Database[[#All],[PL]],Table_Query_from_MS_Access_Database[[#All],[Transaction Year]],"2017",Table_Query_from_MS_Access_Database[[#All],[Transaction Type]],"repayment in")</f>
        <v>0</v>
      </c>
      <c r="R9" s="143">
        <f>SUMIFS(Table_Query_from_MS_Access_Database[[#All],[SPR]],Table_Query_from_MS_Access_Database[[#All],[Transaction Year]],"2017",Table_Query_from_MS_Access_Database[[#All],[Transaction Type]],"repayment in")</f>
        <v>0</v>
      </c>
      <c r="S9" s="143">
        <f>SUMIFS(Table_Query_from_MS_Access_Database[[#All],[STP other]],Table_Query_from_MS_Access_Database[[#All],[Transaction Year]],"2017",Table_Query_from_MS_Access_Database[[#All],[Transaction Type]],"repayment in")</f>
        <v>0</v>
      </c>
      <c r="T9" s="143">
        <f>SUMIFS(Table_Query_from_MS_Access_Database[[#All],[STP over 200K]],Table_Query_from_MS_Access_Database[[#All],[Transaction Year]],"2017",Table_Query_from_MS_Access_Database[[#All],[Transaction Type]],"repayment in")</f>
        <v>0</v>
      </c>
      <c r="U9" s="143">
        <f>SUMIFS(Table_Query_from_MS_Access_Database[[#All],[TA other]],Table_Query_from_MS_Access_Database[[#All],[Transaction Year]],"2017",Table_Query_from_MS_Access_Database[[#All],[Transaction Type]],"repayment in")</f>
        <v>0</v>
      </c>
      <c r="V9" s="143">
        <f>SUMIFS(Table_Query_from_MS_Access_Database[[#All],[TA over 200K]],Table_Query_from_MS_Access_Database[[#All],[Transaction Year]],"2017",Table_Query_from_MS_Access_Database[[#All],[Transaction Type]],"repayment in")</f>
        <v>0</v>
      </c>
      <c r="W9" s="143">
        <f>SUM(Table1[[#This Row],[CMAQ]:[TA OVER 200K]])</f>
        <v>449400</v>
      </c>
      <c r="X9" s="146">
        <f>SUMIFS(Table_Query_from_MS_Access_Database_16[[#All],[Total]],Table_Query_from_MS_Access_Database_16[[#All],[Transaction Year]],"2017",Table_Query_from_MS_Access_Database_16[[#All],[Transaction Type]],"repayment In")</f>
        <v>0</v>
      </c>
      <c r="Y9" s="110"/>
    </row>
    <row r="10" spans="1:25" s="102" customFormat="1" ht="13.2" x14ac:dyDescent="0.3">
      <c r="A10" s="236" t="s">
        <v>160</v>
      </c>
      <c r="B10" s="236"/>
      <c r="C10" s="236"/>
      <c r="D10" s="236"/>
      <c r="E10" s="236"/>
      <c r="F10" s="236"/>
      <c r="G10" s="236"/>
      <c r="H10" s="236"/>
      <c r="I10" s="236"/>
      <c r="J10" s="236"/>
      <c r="K10" s="236"/>
      <c r="L10" s="236"/>
      <c r="M10" s="111" t="s">
        <v>81</v>
      </c>
      <c r="N10" s="143">
        <f>SUMIFS(Table_Query_from_MS_Access_Database[[#All],[CMAQ]],Table_Query_from_MS_Access_Database[[#All],[Transaction Year]],"2017",Table_Query_from_MS_Access_Database[[#All],[Transaction Type]],"repayment Out")</f>
        <v>0</v>
      </c>
      <c r="O10" s="143">
        <f>SUMIFS(Table_Query_from_MS_Access_Database[[#All],[CMAQ 2_5]],Table_Query_from_MS_Access_Database[[#All],[Transaction Year]],"2017",Table_Query_from_MS_Access_Database[[#All],[Transaction Type]],"repayment Out")</f>
        <v>0</v>
      </c>
      <c r="P10" s="143">
        <f>SUMIFS(Table_Query_from_MS_Access_Database[[#All],[HSIP]],Table_Query_from_MS_Access_Database[[#All],[Transaction Year]],"2017",Table_Query_from_MS_Access_Database[[#All],[Transaction Type]],"repayment Out")</f>
        <v>0</v>
      </c>
      <c r="Q10" s="143">
        <f>SUMIFS(Table_Query_from_MS_Access_Database[[#All],[PL]],Table_Query_from_MS_Access_Database[[#All],[Transaction Year]],"2017",Table_Query_from_MS_Access_Database[[#All],[Transaction Type]],"repayment Out")</f>
        <v>0</v>
      </c>
      <c r="R10" s="143">
        <f>SUMIFS(Table_Query_from_MS_Access_Database[[#All],[SPR]],Table_Query_from_MS_Access_Database[[#All],[Transaction Year]],"2017",Table_Query_from_MS_Access_Database[[#All],[Transaction Type]],"repayment Out")</f>
        <v>0</v>
      </c>
      <c r="S10" s="143">
        <f>SUMIFS(Table_Query_from_MS_Access_Database[[#All],[STP other]],Table_Query_from_MS_Access_Database[[#All],[Transaction Year]],"2017",Table_Query_from_MS_Access_Database[[#All],[Transaction Type]],"repayment Out")</f>
        <v>-2633480</v>
      </c>
      <c r="T10" s="143">
        <f>SUMIFS(Table_Query_from_MS_Access_Database[[#All],[STP over 200K]],Table_Query_from_MS_Access_Database[[#All],[Transaction Year]],"2017",Table_Query_from_MS_Access_Database[[#All],[Transaction Type]],"repayment Out")</f>
        <v>0</v>
      </c>
      <c r="U10" s="143">
        <f>SUMIFS(Table_Query_from_MS_Access_Database[[#All],[TA other]],Table_Query_from_MS_Access_Database[[#All],[Transaction Year]],"2017",Table_Query_from_MS_Access_Database[[#All],[Transaction Type]],"repayment Out")</f>
        <v>0</v>
      </c>
      <c r="V10" s="143">
        <f>SUMIFS(Table_Query_from_MS_Access_Database[[#All],[TA over 200K]],Table_Query_from_MS_Access_Database[[#All],[Transaction Year]],"2017",Table_Query_from_MS_Access_Database[[#All],[Transaction Type]],"repayment Out")</f>
        <v>0</v>
      </c>
      <c r="W10" s="143">
        <f>SUM(Table1[[#This Row],[CMAQ]:[TA OVER 200K]])</f>
        <v>-2633480</v>
      </c>
      <c r="X10" s="146">
        <f>SUMIFS(Table_Query_from_MS_Access_Database_16[[#All],[Total]],Table_Query_from_MS_Access_Database_16[[#All],[Transaction Year]],"2017",Table_Query_from_MS_Access_Database_16[[#All],[Transaction Type]],"Repayment Out")</f>
        <v>-2633480</v>
      </c>
      <c r="Y10" s="110"/>
    </row>
    <row r="11" spans="1:25" s="102" customFormat="1" ht="13.2" x14ac:dyDescent="0.3">
      <c r="J11" s="108"/>
      <c r="K11" s="108"/>
      <c r="L11" s="108"/>
      <c r="M11" s="111" t="s">
        <v>82</v>
      </c>
      <c r="N11" s="143">
        <f>SUMIFS(Table_Query_from_MS_Access_Database[[#All],[CMAQ]],Table_Query_from_MS_Access_Database[[#All],[Transaction Year]],"2017",Table_Query_from_MS_Access_Database[[#All],[Transaction Type]],"Transfer in")</f>
        <v>0</v>
      </c>
      <c r="O11" s="143">
        <f>SUMIFS(Table_Query_from_MS_Access_Database[[#All],[CMAQ 2_5]],Table_Query_from_MS_Access_Database[[#All],[Transaction Year]],"2017",Table_Query_from_MS_Access_Database[[#All],[Transaction Type]],"Transfer in")</f>
        <v>0</v>
      </c>
      <c r="P11" s="143">
        <f>SUMIFS(Table_Query_from_MS_Access_Database[[#All],[HSIP]],Table_Query_from_MS_Access_Database[[#All],[Transaction Year]],"2017",Table_Query_from_MS_Access_Database[[#All],[Transaction Type]],"Transfer in")</f>
        <v>0</v>
      </c>
      <c r="Q11" s="143">
        <f>SUMIFS(Table_Query_from_MS_Access_Database[[#All],[PL]],Table_Query_from_MS_Access_Database[[#All],[Transaction Year]],"2017",Table_Query_from_MS_Access_Database[[#All],[Transaction Type]],"Transfer in")</f>
        <v>0</v>
      </c>
      <c r="R11" s="143">
        <f>SUMIFS(Table_Query_from_MS_Access_Database[[#All],[SPR]],Table_Query_from_MS_Access_Database[[#All],[Transaction Year]],"2017",Table_Query_from_MS_Access_Database[[#All],[Transaction Type]],"Transfer in")</f>
        <v>0</v>
      </c>
      <c r="S11" s="143">
        <f>SUMIFS(Table_Query_from_MS_Access_Database[[#All],[STP other]],Table_Query_from_MS_Access_Database[[#All],[Transaction Year]],"2017",Table_Query_from_MS_Access_Database[[#All],[Transaction Type]],"Transfer in")</f>
        <v>0</v>
      </c>
      <c r="T11" s="143">
        <f>SUMIFS(Table_Query_from_MS_Access_Database[[#All],[STP over 200K]],Table_Query_from_MS_Access_Database[[#All],[Transaction Year]],"2017",Table_Query_from_MS_Access_Database[[#All],[Transaction Type]],"Transfer in")</f>
        <v>0</v>
      </c>
      <c r="U11" s="143">
        <f>SUMIFS(Table_Query_from_MS_Access_Database[[#All],[TA other]],Table_Query_from_MS_Access_Database[[#All],[Transaction Year]],"2017",Table_Query_from_MS_Access_Database[[#All],[Transaction Type]],"Transfer in")</f>
        <v>0</v>
      </c>
      <c r="V11" s="143">
        <f>SUMIFS(Table_Query_from_MS_Access_Database[[#All],[TA over 200K]],Table_Query_from_MS_Access_Database[[#All],[Transaction Year]],"2017",Table_Query_from_MS_Access_Database[[#All],[Transaction Type]],"Transfer in")</f>
        <v>0</v>
      </c>
      <c r="W11" s="143">
        <f>SUM(Table1[[#This Row],[CMAQ]:[TA OVER 200K]])</f>
        <v>0</v>
      </c>
      <c r="X11" s="146">
        <f>SUMIFS(Table_Query_from_MS_Access_Database_16[[#All],[Total]],Table_Query_from_MS_Access_Database_16[[#All],[Transaction Year]],"2017",Table_Query_from_MS_Access_Database_16[[#All],[Transaction Type]],"Transfer In")</f>
        <v>0</v>
      </c>
    </row>
    <row r="12" spans="1:25" s="102" customFormat="1" ht="13.2" x14ac:dyDescent="0.3">
      <c r="F12" s="141"/>
      <c r="G12" s="141"/>
      <c r="J12" s="108"/>
      <c r="K12" s="108"/>
      <c r="L12" s="108"/>
      <c r="M12" s="111" t="s">
        <v>83</v>
      </c>
      <c r="N12" s="143">
        <f>SUMIFS(Table_Query_from_MS_Access_Database[[#All],[CMAQ]],Table_Query_from_MS_Access_Database[[#All],[Transaction Year]],"2017",Table_Query_from_MS_Access_Database[[#All],[Transaction Type]],"Transfer Out")</f>
        <v>0</v>
      </c>
      <c r="O12" s="143">
        <f>SUMIFS(Table_Query_from_MS_Access_Database[[#All],[CMAQ 2_5]],Table_Query_from_MS_Access_Database[[#All],[Transaction Year]],"2017",Table_Query_from_MS_Access_Database[[#All],[Transaction Type]],"Transfer Out")</f>
        <v>0</v>
      </c>
      <c r="P12" s="143">
        <f>SUMIFS(Table_Query_from_MS_Access_Database[[#All],[HSIP]],Table_Query_from_MS_Access_Database[[#All],[Transaction Year]],"2017",Table_Query_from_MS_Access_Database[[#All],[Transaction Type]],"Transfer Out")</f>
        <v>-105000</v>
      </c>
      <c r="Q12" s="143">
        <f>SUMIFS(Table_Query_from_MS_Access_Database[[#All],[PL]],Table_Query_from_MS_Access_Database[[#All],[Transaction Year]],"2017",Table_Query_from_MS_Access_Database[[#All],[Transaction Type]],"Transfer Out")</f>
        <v>0</v>
      </c>
      <c r="R12" s="143">
        <f>SUMIFS(Table_Query_from_MS_Access_Database[[#All],[SPR]],Table_Query_from_MS_Access_Database[[#All],[Transaction Year]],"2017",Table_Query_from_MS_Access_Database[[#All],[Transaction Type]],"Transfer Out")</f>
        <v>0</v>
      </c>
      <c r="S12" s="143">
        <f>SUMIFS(Table_Query_from_MS_Access_Database[[#All],[STP other]],Table_Query_from_MS_Access_Database[[#All],[Transaction Year]],"2017",Table_Query_from_MS_Access_Database[[#All],[Transaction Type]],"Transfer Out")</f>
        <v>0</v>
      </c>
      <c r="T12" s="143">
        <f>SUMIFS(Table_Query_from_MS_Access_Database[[#All],[STP over 200K]],Table_Query_from_MS_Access_Database[[#All],[Transaction Year]],"2017",Table_Query_from_MS_Access_Database[[#All],[Transaction Type]],"Transfer Out")</f>
        <v>0</v>
      </c>
      <c r="U12" s="143">
        <f>SUMIFS(Table_Query_from_MS_Access_Database[[#All],[TA other]],Table_Query_from_MS_Access_Database[[#All],[Transaction Year]],"2017",Table_Query_from_MS_Access_Database[[#All],[Transaction Type]],"Transfer Out")</f>
        <v>0</v>
      </c>
      <c r="V12" s="143">
        <f>SUMIFS(Table_Query_from_MS_Access_Database[[#All],[TA over 200K]],Table_Query_from_MS_Access_Database[[#All],[Transaction Year]],"2017",Table_Query_from_MS_Access_Database[[#All],[Transaction Type]],"Transfer Out")</f>
        <v>0</v>
      </c>
      <c r="W12" s="143">
        <f>SUM(Table1[[#This Row],[CMAQ]:[TA OVER 200K]])</f>
        <v>-105000</v>
      </c>
      <c r="X12" s="146">
        <f>SUMIFS(Table_Query_from_MS_Access_Database_16[[#All],[Total]],Table_Query_from_MS_Access_Database_16[[#All],[Transaction Year]],"2017",Table_Query_from_MS_Access_Database_16[[#All],[Transaction Type]],"Transfer Out")</f>
        <v>-105000</v>
      </c>
      <c r="Y12" s="114"/>
    </row>
    <row r="13" spans="1:25" s="102" customFormat="1" ht="13.8" thickBot="1" x14ac:dyDescent="0.35">
      <c r="F13" s="141"/>
      <c r="G13" s="141"/>
      <c r="J13" s="108"/>
      <c r="K13" s="108"/>
      <c r="L13" s="108"/>
      <c r="M13" s="115" t="s">
        <v>193</v>
      </c>
      <c r="N13" s="147">
        <v>0</v>
      </c>
      <c r="O13" s="147">
        <v>0</v>
      </c>
      <c r="P13" s="147">
        <v>0</v>
      </c>
      <c r="Q13" s="147">
        <v>0</v>
      </c>
      <c r="R13" s="147">
        <v>0</v>
      </c>
      <c r="S13" s="147">
        <v>0</v>
      </c>
      <c r="T13" s="147">
        <v>0</v>
      </c>
      <c r="U13" s="147">
        <v>0</v>
      </c>
      <c r="V13" s="147">
        <v>0</v>
      </c>
      <c r="W13" s="143">
        <f>SUM(Table1[[#This Row],[CMAQ]:[TA OVER 200K]])</f>
        <v>0</v>
      </c>
      <c r="X13" s="179">
        <v>0</v>
      </c>
      <c r="Y13" s="114"/>
    </row>
    <row r="14" spans="1:25" s="102" customFormat="1" ht="27" thickBot="1" x14ac:dyDescent="0.35">
      <c r="J14" s="108"/>
      <c r="K14" s="108"/>
      <c r="L14" s="108"/>
      <c r="M14" s="116" t="s">
        <v>161</v>
      </c>
      <c r="N14" s="148">
        <f>SUM(N4:N13)</f>
        <v>54783636.07</v>
      </c>
      <c r="O14" s="148">
        <f t="shared" ref="O14:X14" si="0">SUM(O4:O13)</f>
        <v>1104967</v>
      </c>
      <c r="P14" s="148">
        <f t="shared" si="0"/>
        <v>2812691</v>
      </c>
      <c r="Q14" s="148">
        <f t="shared" si="0"/>
        <v>4043401</v>
      </c>
      <c r="R14" s="148">
        <f t="shared" si="0"/>
        <v>1250000</v>
      </c>
      <c r="S14" s="148">
        <f t="shared" si="0"/>
        <v>2599927</v>
      </c>
      <c r="T14" s="148">
        <f t="shared" si="0"/>
        <v>103573091.05</v>
      </c>
      <c r="U14" s="148">
        <f t="shared" si="0"/>
        <v>502907</v>
      </c>
      <c r="V14" s="148">
        <f t="shared" si="0"/>
        <v>9016357.2200000007</v>
      </c>
      <c r="W14" s="148">
        <f>SUM(Table1[[#This Row],[CMAQ]:[TA OVER 200K]])</f>
        <v>179686977.34</v>
      </c>
      <c r="X14" s="149">
        <f t="shared" si="0"/>
        <v>116175705.38</v>
      </c>
      <c r="Y14" s="114"/>
    </row>
    <row r="15" spans="1:25" x14ac:dyDescent="0.3">
      <c r="N15" s="40"/>
      <c r="O15" s="41"/>
      <c r="P15" s="41"/>
      <c r="Q15" s="41"/>
      <c r="R15" s="41"/>
      <c r="S15" s="41"/>
      <c r="T15" s="39"/>
      <c r="V15" s="65"/>
      <c r="X15" s="35"/>
      <c r="Y15" s="35"/>
    </row>
    <row r="16" spans="1:25" ht="16.8" x14ac:dyDescent="0.3">
      <c r="A16" s="228" t="s">
        <v>69</v>
      </c>
      <c r="B16" s="228"/>
      <c r="C16" s="228"/>
      <c r="D16" s="228"/>
      <c r="J16" s="239" t="s">
        <v>71</v>
      </c>
      <c r="K16" s="240"/>
      <c r="L16" s="240"/>
      <c r="M16" s="241"/>
      <c r="N16" s="42"/>
      <c r="R16" s="43"/>
      <c r="S16" s="43"/>
      <c r="T16" s="43"/>
      <c r="U16" s="43"/>
      <c r="V16" s="65"/>
      <c r="W16" s="66"/>
      <c r="X16" s="35"/>
      <c r="Y16" s="35"/>
    </row>
    <row r="17" spans="1:25" s="46" customFormat="1" ht="30" x14ac:dyDescent="0.3">
      <c r="A17" s="50" t="s">
        <v>1</v>
      </c>
      <c r="B17" s="50" t="s">
        <v>0</v>
      </c>
      <c r="C17" s="50" t="s">
        <v>3</v>
      </c>
      <c r="D17" s="50" t="s">
        <v>93</v>
      </c>
      <c r="E17" s="50" t="s">
        <v>2</v>
      </c>
      <c r="F17" s="50" t="s">
        <v>53</v>
      </c>
      <c r="G17" s="50" t="s">
        <v>54</v>
      </c>
      <c r="H17" s="50" t="s">
        <v>55</v>
      </c>
      <c r="I17" s="50" t="s">
        <v>61</v>
      </c>
      <c r="J17" s="51" t="s">
        <v>56</v>
      </c>
      <c r="K17" s="51" t="s">
        <v>57</v>
      </c>
      <c r="L17" s="51" t="s">
        <v>58</v>
      </c>
      <c r="M17" s="51" t="s">
        <v>59</v>
      </c>
      <c r="N17" s="52" t="s">
        <v>43</v>
      </c>
      <c r="O17" s="52" t="s">
        <v>44</v>
      </c>
      <c r="P17" s="52" t="s">
        <v>4</v>
      </c>
      <c r="Q17" s="52" t="s">
        <v>45</v>
      </c>
      <c r="R17" s="52" t="s">
        <v>5</v>
      </c>
      <c r="S17" s="52" t="s">
        <v>60</v>
      </c>
      <c r="T17" s="52" t="s">
        <v>103</v>
      </c>
      <c r="U17" s="52" t="s">
        <v>104</v>
      </c>
      <c r="V17" s="52" t="s">
        <v>105</v>
      </c>
      <c r="W17" s="52" t="s">
        <v>96</v>
      </c>
      <c r="X17" s="68" t="s">
        <v>101</v>
      </c>
      <c r="Y17" s="150"/>
    </row>
    <row r="18" spans="1:25" s="48" customFormat="1" ht="26.4" x14ac:dyDescent="0.3">
      <c r="A18" s="208" t="s">
        <v>345</v>
      </c>
      <c r="B18" s="208" t="s">
        <v>346</v>
      </c>
      <c r="C18" s="209" t="s">
        <v>319</v>
      </c>
      <c r="D18" s="208" t="s">
        <v>21</v>
      </c>
      <c r="E18" s="208" t="s">
        <v>347</v>
      </c>
      <c r="F18" s="209" t="s">
        <v>348</v>
      </c>
      <c r="G18" s="209" t="s">
        <v>106</v>
      </c>
      <c r="H18" s="209" t="s">
        <v>349</v>
      </c>
      <c r="I18" s="209" t="str">
        <f>+CONCATENATE(Table_Query_from_MS_Access_Database_1[[#This Row],[RTE]],Table_Query_from_MS_Access_Database_1[[#This Row],[SEC]],Table_Query_from_MS_Access_Database_1[[#This Row],[SEQ]])</f>
        <v>MAR0203</v>
      </c>
      <c r="J18" s="210">
        <v>42644</v>
      </c>
      <c r="K18" s="210">
        <v>42650</v>
      </c>
      <c r="L18" s="210">
        <v>42656</v>
      </c>
      <c r="M18" s="210">
        <v>42656</v>
      </c>
      <c r="N18" s="211"/>
      <c r="O18" s="211">
        <v>-172933</v>
      </c>
      <c r="P18" s="211"/>
      <c r="Q18" s="211"/>
      <c r="R18" s="211"/>
      <c r="S18" s="211"/>
      <c r="T18" s="211"/>
      <c r="U18" s="211"/>
      <c r="V18" s="211"/>
      <c r="W18" s="211">
        <f>+SUM(Table_Query_from_MS_Access_Database_1[[#This Row],[CMAQ]:[TA OVER 200K]])</f>
        <v>-172933</v>
      </c>
      <c r="X18" s="184">
        <f>X14-Table_Query_from_MS_Access_Database_1[TOTAL OF AMOUNT]</f>
        <v>116348638.38</v>
      </c>
    </row>
    <row r="19" spans="1:25" s="48" customFormat="1" ht="28.95" customHeight="1" x14ac:dyDescent="0.3">
      <c r="A19" s="99" t="s">
        <v>224</v>
      </c>
      <c r="B19" s="99" t="s">
        <v>225</v>
      </c>
      <c r="C19" s="48" t="s">
        <v>134</v>
      </c>
      <c r="D19" s="99" t="s">
        <v>7</v>
      </c>
      <c r="E19" s="99" t="s">
        <v>226</v>
      </c>
      <c r="F19" s="48" t="s">
        <v>135</v>
      </c>
      <c r="G19" s="48" t="s">
        <v>106</v>
      </c>
      <c r="H19" s="48" t="s">
        <v>205</v>
      </c>
      <c r="I19" s="48" t="str">
        <f>+CONCATENATE(Table_Query_from_MS_Access_Database_1[[#This Row],[RTE]],Table_Query_from_MS_Access_Database_1[[#This Row],[SEC]],Table_Query_from_MS_Access_Database_1[[#This Row],[SEQ]])</f>
        <v>CHN0221</v>
      </c>
      <c r="J19" s="100">
        <v>42644</v>
      </c>
      <c r="K19" s="100">
        <v>42650</v>
      </c>
      <c r="L19" s="100">
        <v>42660</v>
      </c>
      <c r="M19" s="100">
        <v>42663</v>
      </c>
      <c r="N19" s="151"/>
      <c r="O19" s="151"/>
      <c r="P19" s="151"/>
      <c r="Q19" s="151"/>
      <c r="R19" s="151"/>
      <c r="S19" s="151"/>
      <c r="T19" s="151">
        <v>2093545</v>
      </c>
      <c r="U19" s="151"/>
      <c r="V19" s="151"/>
      <c r="W19" s="151">
        <f>+SUM(Table_Query_from_MS_Access_Database_1[[#This Row],[CMAQ]:[TA OVER 200K]])</f>
        <v>2093545</v>
      </c>
      <c r="X19" s="53">
        <f>X18-Table_Query_from_MS_Access_Database_1[TOTAL OF AMOUNT]</f>
        <v>114255093.38</v>
      </c>
    </row>
    <row r="20" spans="1:25" s="48" customFormat="1" ht="26.4" x14ac:dyDescent="0.3">
      <c r="A20" s="187" t="s">
        <v>264</v>
      </c>
      <c r="B20" s="187" t="s">
        <v>504</v>
      </c>
      <c r="C20" s="188" t="s">
        <v>109</v>
      </c>
      <c r="D20" s="187" t="s">
        <v>7</v>
      </c>
      <c r="E20" s="187" t="s">
        <v>265</v>
      </c>
      <c r="F20" s="188" t="s">
        <v>186</v>
      </c>
      <c r="G20" s="188" t="s">
        <v>266</v>
      </c>
      <c r="H20" s="188" t="s">
        <v>267</v>
      </c>
      <c r="I20" s="188" t="str">
        <f>+CONCATENATE(Table_Query_from_MS_Access_Database_1[[#This Row],[RTE]],Table_Query_from_MS_Access_Database_1[[#This Row],[SEC]],Table_Query_from_MS_Access_Database_1[[#This Row],[SEQ]])</f>
        <v>888A220</v>
      </c>
      <c r="J20" s="185">
        <v>42644</v>
      </c>
      <c r="K20" s="185">
        <v>42650</v>
      </c>
      <c r="L20" s="185">
        <v>42660</v>
      </c>
      <c r="M20" s="185">
        <v>42663</v>
      </c>
      <c r="N20" s="186">
        <v>2168900</v>
      </c>
      <c r="O20" s="186"/>
      <c r="P20" s="186"/>
      <c r="Q20" s="186"/>
      <c r="R20" s="186"/>
      <c r="S20" s="186"/>
      <c r="T20" s="186"/>
      <c r="U20" s="186"/>
      <c r="V20" s="186"/>
      <c r="W20" s="186">
        <f>+SUM(Table_Query_from_MS_Access_Database_1[[#This Row],[CMAQ]:[TA OVER 200K]])</f>
        <v>2168900</v>
      </c>
      <c r="X20" s="53">
        <f>X19-Table_Query_from_MS_Access_Database_1[TOTAL OF AMOUNT]</f>
        <v>112086193.38</v>
      </c>
      <c r="Y20" s="101"/>
    </row>
    <row r="21" spans="1:25" s="48" customFormat="1" ht="39.6" x14ac:dyDescent="0.3">
      <c r="A21" s="193" t="s">
        <v>352</v>
      </c>
      <c r="B21" s="193" t="s">
        <v>353</v>
      </c>
      <c r="C21" s="194" t="s">
        <v>109</v>
      </c>
      <c r="D21" s="193" t="s">
        <v>21</v>
      </c>
      <c r="E21" s="193" t="s">
        <v>354</v>
      </c>
      <c r="F21" s="194" t="s">
        <v>186</v>
      </c>
      <c r="G21" s="194" t="s">
        <v>266</v>
      </c>
      <c r="H21" s="194" t="s">
        <v>333</v>
      </c>
      <c r="I21" s="194" t="str">
        <f>+CONCATENATE(Table_Query_from_MS_Access_Database_1[[#This Row],[RTE]],Table_Query_from_MS_Access_Database_1[[#This Row],[SEC]],Table_Query_from_MS_Access_Database_1[[#This Row],[SEQ]])</f>
        <v>888A225</v>
      </c>
      <c r="J21" s="195">
        <v>42644</v>
      </c>
      <c r="K21" s="195">
        <v>42644</v>
      </c>
      <c r="L21" s="195">
        <v>42661</v>
      </c>
      <c r="M21" s="195">
        <v>42663</v>
      </c>
      <c r="N21" s="196">
        <v>-43605</v>
      </c>
      <c r="O21" s="196"/>
      <c r="P21" s="196"/>
      <c r="Q21" s="196"/>
      <c r="R21" s="196"/>
      <c r="S21" s="196"/>
      <c r="T21" s="196"/>
      <c r="U21" s="196"/>
      <c r="V21" s="196"/>
      <c r="W21" s="196">
        <f>+SUM(Table_Query_from_MS_Access_Database_1[[#This Row],[CMAQ]:[TA OVER 200K]])</f>
        <v>-43605</v>
      </c>
      <c r="X21" s="53">
        <f>X20-Table_Query_from_MS_Access_Database_1[TOTAL OF AMOUNT]</f>
        <v>112129798.38</v>
      </c>
      <c r="Y21" s="101"/>
    </row>
    <row r="22" spans="1:25" s="48" customFormat="1" ht="39.6" x14ac:dyDescent="0.3">
      <c r="A22" s="208" t="s">
        <v>355</v>
      </c>
      <c r="B22" s="208" t="s">
        <v>597</v>
      </c>
      <c r="C22" s="209" t="s">
        <v>52</v>
      </c>
      <c r="D22" s="208" t="s">
        <v>7</v>
      </c>
      <c r="E22" s="208" t="s">
        <v>356</v>
      </c>
      <c r="F22" s="209" t="s">
        <v>52</v>
      </c>
      <c r="G22" s="209" t="s">
        <v>357</v>
      </c>
      <c r="H22" s="209" t="s">
        <v>351</v>
      </c>
      <c r="I22" s="209" t="str">
        <f>+CONCATENATE(Table_Query_from_MS_Access_Database_1[[#This Row],[RTE]],Table_Query_from_MS_Access_Database_1[[#This Row],[SEC]],Table_Query_from_MS_Access_Database_1[[#This Row],[SEQ]])</f>
        <v>MAGc017</v>
      </c>
      <c r="J22" s="210"/>
      <c r="K22" s="210">
        <v>42656</v>
      </c>
      <c r="L22" s="210">
        <v>42663</v>
      </c>
      <c r="M22" s="210">
        <v>42669</v>
      </c>
      <c r="N22" s="211">
        <v>1747347</v>
      </c>
      <c r="O22" s="211"/>
      <c r="P22" s="211"/>
      <c r="Q22" s="211"/>
      <c r="R22" s="211"/>
      <c r="S22" s="211"/>
      <c r="T22" s="211"/>
      <c r="U22" s="211"/>
      <c r="V22" s="211"/>
      <c r="W22" s="211">
        <f>+SUM(Table_Query_from_MS_Access_Database_1[[#This Row],[CMAQ]:[TA OVER 200K]])</f>
        <v>1747347</v>
      </c>
      <c r="X22" s="53">
        <f>X21-Table_Query_from_MS_Access_Database_1[TOTAL OF AMOUNT]</f>
        <v>110382451.38</v>
      </c>
      <c r="Y22" s="101"/>
    </row>
    <row r="23" spans="1:25" s="101" customFormat="1" ht="26.4" x14ac:dyDescent="0.3">
      <c r="A23" s="191" t="s">
        <v>250</v>
      </c>
      <c r="B23" s="191" t="s">
        <v>249</v>
      </c>
      <c r="C23" s="192" t="s">
        <v>190</v>
      </c>
      <c r="D23" s="191" t="s">
        <v>7</v>
      </c>
      <c r="E23" s="191" t="s">
        <v>591</v>
      </c>
      <c r="F23" s="192" t="s">
        <v>191</v>
      </c>
      <c r="G23" s="192" t="s">
        <v>106</v>
      </c>
      <c r="H23" s="192" t="s">
        <v>194</v>
      </c>
      <c r="I23" s="192" t="str">
        <f>+CONCATENATE(Table_Query_from_MS_Access_Database_1[[#This Row],[RTE]],Table_Query_from_MS_Access_Database_1[[#This Row],[SEC]],Table_Query_from_MS_Access_Database_1[[#This Row],[SEQ]])</f>
        <v>AVN0223</v>
      </c>
      <c r="J23" s="189">
        <v>42644</v>
      </c>
      <c r="K23" s="189">
        <v>42650</v>
      </c>
      <c r="L23" s="189">
        <v>42667</v>
      </c>
      <c r="M23" s="189">
        <v>42675</v>
      </c>
      <c r="N23" s="190"/>
      <c r="O23" s="190"/>
      <c r="P23" s="190">
        <v>15000</v>
      </c>
      <c r="Q23" s="190"/>
      <c r="R23" s="190"/>
      <c r="S23" s="190"/>
      <c r="T23" s="190"/>
      <c r="U23" s="190"/>
      <c r="V23" s="190"/>
      <c r="W23" s="190">
        <f>+SUM(Table_Query_from_MS_Access_Database_1[[#This Row],[CMAQ]:[TA OVER 200K]])</f>
        <v>15000</v>
      </c>
      <c r="X23" s="53">
        <f>X22-Table_Query_from_MS_Access_Database_1[TOTAL OF AMOUNT]</f>
        <v>110367451.38</v>
      </c>
    </row>
    <row r="24" spans="1:25" s="182" customFormat="1" ht="13.2" x14ac:dyDescent="0.3">
      <c r="A24" s="191" t="s">
        <v>252</v>
      </c>
      <c r="B24" s="191" t="s">
        <v>251</v>
      </c>
      <c r="C24" s="192" t="s">
        <v>190</v>
      </c>
      <c r="D24" s="191" t="s">
        <v>7</v>
      </c>
      <c r="E24" s="191" t="s">
        <v>358</v>
      </c>
      <c r="F24" s="192" t="s">
        <v>191</v>
      </c>
      <c r="G24" s="192" t="s">
        <v>106</v>
      </c>
      <c r="H24" s="192" t="s">
        <v>243</v>
      </c>
      <c r="I24" s="192" t="str">
        <f>+CONCATENATE(Table_Query_from_MS_Access_Database_1[[#This Row],[RTE]],Table_Query_from_MS_Access_Database_1[[#This Row],[SEC]],Table_Query_from_MS_Access_Database_1[[#This Row],[SEQ]])</f>
        <v>AVN0222</v>
      </c>
      <c r="J24" s="189">
        <v>42644</v>
      </c>
      <c r="K24" s="189">
        <v>42650</v>
      </c>
      <c r="L24" s="189">
        <v>42667</v>
      </c>
      <c r="M24" s="189">
        <v>42675</v>
      </c>
      <c r="N24" s="190"/>
      <c r="O24" s="190"/>
      <c r="P24" s="190">
        <v>15000</v>
      </c>
      <c r="Q24" s="190"/>
      <c r="R24" s="190"/>
      <c r="S24" s="190"/>
      <c r="T24" s="190"/>
      <c r="U24" s="190"/>
      <c r="V24" s="190"/>
      <c r="W24" s="190">
        <f>+SUM(Table_Query_from_MS_Access_Database_1[[#This Row],[CMAQ]:[TA OVER 200K]])</f>
        <v>15000</v>
      </c>
      <c r="X24" s="53">
        <f>X23-Table_Query_from_MS_Access_Database_1[TOTAL OF AMOUNT]</f>
        <v>110352451.38</v>
      </c>
    </row>
    <row r="25" spans="1:25" s="182" customFormat="1" ht="26.4" x14ac:dyDescent="0.3">
      <c r="A25" s="208" t="s">
        <v>328</v>
      </c>
      <c r="B25" s="208" t="s">
        <v>329</v>
      </c>
      <c r="C25" s="209" t="s">
        <v>330</v>
      </c>
      <c r="D25" s="208" t="s">
        <v>9</v>
      </c>
      <c r="E25" s="208" t="s">
        <v>331</v>
      </c>
      <c r="F25" s="209" t="s">
        <v>332</v>
      </c>
      <c r="G25" s="209" t="s">
        <v>106</v>
      </c>
      <c r="H25" s="209" t="s">
        <v>333</v>
      </c>
      <c r="I25" s="209" t="str">
        <f>+CONCATENATE(Table_Query_from_MS_Access_Database_1[[#This Row],[RTE]],Table_Query_from_MS_Access_Database_1[[#This Row],[SEC]],Table_Query_from_MS_Access_Database_1[[#This Row],[SEQ]])</f>
        <v>MES0225</v>
      </c>
      <c r="J25" s="210"/>
      <c r="K25" s="210">
        <v>42664</v>
      </c>
      <c r="L25" s="210">
        <v>42664</v>
      </c>
      <c r="M25" s="210">
        <v>42682</v>
      </c>
      <c r="N25" s="211">
        <v>-32921.599999999999</v>
      </c>
      <c r="O25" s="211"/>
      <c r="P25" s="211"/>
      <c r="Q25" s="211"/>
      <c r="R25" s="211"/>
      <c r="S25" s="211"/>
      <c r="T25" s="211"/>
      <c r="U25" s="211"/>
      <c r="V25" s="211"/>
      <c r="W25" s="211">
        <f>+SUM(Table_Query_from_MS_Access_Database_1[[#This Row],[CMAQ]:[TA OVER 200K]])</f>
        <v>-32921.599999999999</v>
      </c>
      <c r="X25" s="53">
        <f>X24-Table_Query_from_MS_Access_Database_1[TOTAL OF AMOUNT]</f>
        <v>110385372.97999999</v>
      </c>
    </row>
    <row r="26" spans="1:25" s="183" customFormat="1" ht="13.2" x14ac:dyDescent="0.3">
      <c r="A26" s="208" t="s">
        <v>361</v>
      </c>
      <c r="B26" s="208"/>
      <c r="C26" s="209" t="s">
        <v>52</v>
      </c>
      <c r="D26" s="208" t="s">
        <v>7</v>
      </c>
      <c r="E26" s="208" t="s">
        <v>356</v>
      </c>
      <c r="F26" s="209" t="s">
        <v>52</v>
      </c>
      <c r="G26" s="209" t="s">
        <v>350</v>
      </c>
      <c r="H26" s="209" t="s">
        <v>351</v>
      </c>
      <c r="I26" s="209" t="str">
        <f>+CONCATENATE(Table_Query_from_MS_Access_Database_1[[#This Row],[RTE]],Table_Query_from_MS_Access_Database_1[[#This Row],[SEC]],Table_Query_from_MS_Access_Database_1[[#This Row],[SEQ]])</f>
        <v>MAGP017</v>
      </c>
      <c r="J26" s="210">
        <v>42644</v>
      </c>
      <c r="K26" s="210">
        <v>42650</v>
      </c>
      <c r="L26" s="210">
        <v>42661</v>
      </c>
      <c r="M26" s="210">
        <v>42690</v>
      </c>
      <c r="N26" s="211"/>
      <c r="O26" s="211"/>
      <c r="P26" s="211"/>
      <c r="Q26" s="211">
        <v>4043401</v>
      </c>
      <c r="R26" s="211"/>
      <c r="S26" s="211"/>
      <c r="T26" s="211"/>
      <c r="U26" s="211"/>
      <c r="V26" s="211"/>
      <c r="W26" s="211">
        <f>+SUM(Table_Query_from_MS_Access_Database_1[[#This Row],[CMAQ]:[TA OVER 200K]])</f>
        <v>4043401</v>
      </c>
      <c r="X26" s="53">
        <f>X25-Table_Query_from_MS_Access_Database_1[TOTAL OF AMOUNT]</f>
        <v>106341971.97999999</v>
      </c>
      <c r="Y26" s="182"/>
    </row>
    <row r="27" spans="1:25" s="48" customFormat="1" ht="13.2" x14ac:dyDescent="0.3">
      <c r="A27" s="191" t="s">
        <v>252</v>
      </c>
      <c r="B27" s="191" t="s">
        <v>251</v>
      </c>
      <c r="C27" s="192" t="s">
        <v>190</v>
      </c>
      <c r="D27" s="191" t="s">
        <v>8</v>
      </c>
      <c r="E27" s="191" t="s">
        <v>358</v>
      </c>
      <c r="F27" s="192" t="s">
        <v>191</v>
      </c>
      <c r="G27" s="192" t="s">
        <v>106</v>
      </c>
      <c r="H27" s="192" t="s">
        <v>243</v>
      </c>
      <c r="I27" s="192" t="str">
        <f>+CONCATENATE(Table_Query_from_MS_Access_Database_1[[#This Row],[RTE]],Table_Query_from_MS_Access_Database_1[[#This Row],[SEC]],Table_Query_from_MS_Access_Database_1[[#This Row],[SEQ]])</f>
        <v>AVN0222</v>
      </c>
      <c r="J27" s="189"/>
      <c r="K27" s="189">
        <v>42691</v>
      </c>
      <c r="L27" s="189">
        <v>42691</v>
      </c>
      <c r="M27" s="189">
        <v>42695</v>
      </c>
      <c r="N27" s="190"/>
      <c r="O27" s="190"/>
      <c r="P27" s="190">
        <v>-15000</v>
      </c>
      <c r="Q27" s="190"/>
      <c r="R27" s="190"/>
      <c r="S27" s="190"/>
      <c r="T27" s="190"/>
      <c r="U27" s="190"/>
      <c r="V27" s="190"/>
      <c r="W27" s="190">
        <f>+SUM(Table_Query_from_MS_Access_Database_1[[#This Row],[CMAQ]:[TA OVER 200K]])</f>
        <v>-15000</v>
      </c>
      <c r="X27" s="53">
        <f>X26-Table_Query_from_MS_Access_Database_1[TOTAL OF AMOUNT]</f>
        <v>106356971.97999999</v>
      </c>
      <c r="Y27" s="101"/>
    </row>
    <row r="28" spans="1:25" s="48" customFormat="1" ht="13.2" x14ac:dyDescent="0.3">
      <c r="A28" s="208" t="s">
        <v>359</v>
      </c>
      <c r="B28" s="208"/>
      <c r="C28" s="209" t="s">
        <v>52</v>
      </c>
      <c r="D28" s="208" t="s">
        <v>7</v>
      </c>
      <c r="E28" s="208" t="s">
        <v>356</v>
      </c>
      <c r="F28" s="209" t="s">
        <v>52</v>
      </c>
      <c r="G28" s="209" t="s">
        <v>360</v>
      </c>
      <c r="H28" s="209" t="s">
        <v>351</v>
      </c>
      <c r="I28" s="209" t="str">
        <f>+CONCATENATE(Table_Query_from_MS_Access_Database_1[[#This Row],[RTE]],Table_Query_from_MS_Access_Database_1[[#This Row],[SEC]],Table_Query_from_MS_Access_Database_1[[#This Row],[SEQ]])</f>
        <v>MAGS017</v>
      </c>
      <c r="J28" s="210">
        <v>42644</v>
      </c>
      <c r="K28" s="210">
        <v>42650</v>
      </c>
      <c r="L28" s="210">
        <v>42661</v>
      </c>
      <c r="M28" s="210">
        <v>42696</v>
      </c>
      <c r="N28" s="211"/>
      <c r="O28" s="211"/>
      <c r="P28" s="211"/>
      <c r="Q28" s="211"/>
      <c r="R28" s="211">
        <v>1250000</v>
      </c>
      <c r="S28" s="211"/>
      <c r="T28" s="211"/>
      <c r="U28" s="211"/>
      <c r="V28" s="211"/>
      <c r="W28" s="211">
        <f>+SUM(Table_Query_from_MS_Access_Database_1[[#This Row],[CMAQ]:[TA OVER 200K]])</f>
        <v>1250000</v>
      </c>
      <c r="X28" s="53">
        <f>X27-Table_Query_from_MS_Access_Database_1[TOTAL OF AMOUNT]</f>
        <v>105106971.97999999</v>
      </c>
      <c r="Y28" s="101"/>
    </row>
    <row r="29" spans="1:25" s="48" customFormat="1" ht="26.4" x14ac:dyDescent="0.3">
      <c r="A29" s="191" t="s">
        <v>250</v>
      </c>
      <c r="B29" s="191" t="s">
        <v>249</v>
      </c>
      <c r="C29" s="192" t="s">
        <v>190</v>
      </c>
      <c r="D29" s="191" t="s">
        <v>8</v>
      </c>
      <c r="E29" s="191" t="s">
        <v>591</v>
      </c>
      <c r="F29" s="192" t="s">
        <v>191</v>
      </c>
      <c r="G29" s="192" t="s">
        <v>106</v>
      </c>
      <c r="H29" s="192" t="s">
        <v>194</v>
      </c>
      <c r="I29" s="192" t="str">
        <f>+CONCATENATE(Table_Query_from_MS_Access_Database_1[[#This Row],[RTE]],Table_Query_from_MS_Access_Database_1[[#This Row],[SEC]],Table_Query_from_MS_Access_Database_1[[#This Row],[SEQ]])</f>
        <v>AVN0223</v>
      </c>
      <c r="J29" s="189"/>
      <c r="K29" s="189">
        <v>42691</v>
      </c>
      <c r="L29" s="189">
        <v>42691</v>
      </c>
      <c r="M29" s="189">
        <v>42705</v>
      </c>
      <c r="N29" s="190"/>
      <c r="O29" s="190"/>
      <c r="P29" s="190">
        <v>15000</v>
      </c>
      <c r="Q29" s="190"/>
      <c r="R29" s="190"/>
      <c r="S29" s="190"/>
      <c r="T29" s="190"/>
      <c r="U29" s="190"/>
      <c r="V29" s="190"/>
      <c r="W29" s="190">
        <f>+SUM(Table_Query_from_MS_Access_Database_1[[#This Row],[CMAQ]:[TA OVER 200K]])</f>
        <v>15000</v>
      </c>
      <c r="X29" s="53">
        <f>X28-Table_Query_from_MS_Access_Database_1[TOTAL OF AMOUNT]</f>
        <v>105091971.97999999</v>
      </c>
      <c r="Y29" s="101"/>
    </row>
    <row r="30" spans="1:25" s="48" customFormat="1" ht="13.2" x14ac:dyDescent="0.3">
      <c r="A30" s="205" t="s">
        <v>260</v>
      </c>
      <c r="B30" s="205" t="s">
        <v>261</v>
      </c>
      <c r="C30" s="206" t="s">
        <v>195</v>
      </c>
      <c r="D30" s="205" t="s">
        <v>7</v>
      </c>
      <c r="E30" s="205" t="s">
        <v>262</v>
      </c>
      <c r="F30" s="206" t="s">
        <v>196</v>
      </c>
      <c r="G30" s="206" t="s">
        <v>106</v>
      </c>
      <c r="H30" s="206" t="s">
        <v>259</v>
      </c>
      <c r="I30" s="206" t="str">
        <f>+CONCATENATE(Table_Query_from_MS_Access_Database_1[[#This Row],[RTE]],Table_Query_from_MS_Access_Database_1[[#This Row],[SEC]],Table_Query_from_MS_Access_Database_1[[#This Row],[SEQ]])</f>
        <v>GLN0247</v>
      </c>
      <c r="J30" s="203">
        <v>42671</v>
      </c>
      <c r="K30" s="203">
        <v>42697</v>
      </c>
      <c r="L30" s="203">
        <v>42710</v>
      </c>
      <c r="M30" s="203">
        <v>42711</v>
      </c>
      <c r="N30" s="204">
        <v>904728</v>
      </c>
      <c r="O30" s="204"/>
      <c r="P30" s="204"/>
      <c r="Q30" s="204"/>
      <c r="R30" s="204"/>
      <c r="S30" s="204"/>
      <c r="T30" s="204"/>
      <c r="U30" s="204"/>
      <c r="V30" s="204"/>
      <c r="W30" s="204">
        <f>+SUM(Table_Query_from_MS_Access_Database_1[[#This Row],[CMAQ]:[TA OVER 200K]])</f>
        <v>904728</v>
      </c>
      <c r="X30" s="53">
        <f>X29-Table_Query_from_MS_Access_Database_1[TOTAL OF AMOUNT]</f>
        <v>104187243.97999999</v>
      </c>
      <c r="Y30" s="101"/>
    </row>
    <row r="31" spans="1:25" s="48" customFormat="1" ht="13.2" x14ac:dyDescent="0.3">
      <c r="A31" s="208" t="s">
        <v>393</v>
      </c>
      <c r="B31" s="208"/>
      <c r="C31" s="209" t="s">
        <v>107</v>
      </c>
      <c r="D31" s="208" t="s">
        <v>9</v>
      </c>
      <c r="E31" s="208" t="s">
        <v>394</v>
      </c>
      <c r="F31" s="209" t="s">
        <v>108</v>
      </c>
      <c r="G31" s="209" t="s">
        <v>106</v>
      </c>
      <c r="H31" s="209" t="s">
        <v>275</v>
      </c>
      <c r="I31" s="209" t="str">
        <f>+CONCATENATE(Table_Query_from_MS_Access_Database_1[[#This Row],[RTE]],Table_Query_from_MS_Access_Database_1[[#This Row],[SEC]],Table_Query_from_MS_Access_Database_1[[#This Row],[SEQ]])</f>
        <v>PHX0246</v>
      </c>
      <c r="J31" s="210"/>
      <c r="K31" s="210">
        <v>42703</v>
      </c>
      <c r="L31" s="210">
        <v>42703</v>
      </c>
      <c r="M31" s="210">
        <v>42711</v>
      </c>
      <c r="N31" s="211">
        <v>-309738.27</v>
      </c>
      <c r="O31" s="211"/>
      <c r="P31" s="211"/>
      <c r="Q31" s="211"/>
      <c r="R31" s="211"/>
      <c r="S31" s="211"/>
      <c r="T31" s="211"/>
      <c r="U31" s="211"/>
      <c r="V31" s="211"/>
      <c r="W31" s="211">
        <f>+SUM(Table_Query_from_MS_Access_Database_1[[#This Row],[CMAQ]:[TA OVER 200K]])</f>
        <v>-309738.27</v>
      </c>
      <c r="X31" s="53">
        <f>X30-Table_Query_from_MS_Access_Database_1[TOTAL OF AMOUNT]</f>
        <v>104496982.24999999</v>
      </c>
      <c r="Y31" s="101"/>
    </row>
    <row r="32" spans="1:25" s="48" customFormat="1" ht="26.4" x14ac:dyDescent="0.3">
      <c r="A32" s="193" t="s">
        <v>368</v>
      </c>
      <c r="B32" s="193" t="s">
        <v>369</v>
      </c>
      <c r="C32" s="194" t="s">
        <v>134</v>
      </c>
      <c r="D32" s="193" t="s">
        <v>9</v>
      </c>
      <c r="E32" s="193" t="s">
        <v>370</v>
      </c>
      <c r="F32" s="194" t="s">
        <v>135</v>
      </c>
      <c r="G32" s="194" t="s">
        <v>106</v>
      </c>
      <c r="H32" s="194" t="s">
        <v>371</v>
      </c>
      <c r="I32" s="194" t="str">
        <f>+CONCATENATE(Table_Query_from_MS_Access_Database_1[[#This Row],[RTE]],Table_Query_from_MS_Access_Database_1[[#This Row],[SEC]],Table_Query_from_MS_Access_Database_1[[#This Row],[SEQ]])</f>
        <v>CHN0226</v>
      </c>
      <c r="J32" s="195"/>
      <c r="K32" s="195">
        <v>42683</v>
      </c>
      <c r="L32" s="195">
        <v>42683</v>
      </c>
      <c r="M32" s="195">
        <v>42716</v>
      </c>
      <c r="N32" s="196"/>
      <c r="O32" s="196"/>
      <c r="P32" s="196">
        <v>-4508.8100000000004</v>
      </c>
      <c r="Q32" s="196"/>
      <c r="R32" s="196"/>
      <c r="S32" s="196"/>
      <c r="T32" s="196"/>
      <c r="U32" s="196"/>
      <c r="V32" s="196"/>
      <c r="W32" s="196">
        <f>+SUM(Table_Query_from_MS_Access_Database_1[[#This Row],[CMAQ]:[TA OVER 200K]])</f>
        <v>-4508.8100000000004</v>
      </c>
      <c r="X32" s="53">
        <f>X31-Table_Query_from_MS_Access_Database_1[TOTAL OF AMOUNT]</f>
        <v>104501491.05999999</v>
      </c>
      <c r="Y32" s="101"/>
    </row>
    <row r="33" spans="1:25" s="48" customFormat="1" ht="26.4" x14ac:dyDescent="0.3">
      <c r="A33" s="193" t="s">
        <v>407</v>
      </c>
      <c r="B33" s="193" t="s">
        <v>408</v>
      </c>
      <c r="C33" s="194" t="s">
        <v>409</v>
      </c>
      <c r="D33" s="193" t="s">
        <v>9</v>
      </c>
      <c r="E33" s="193" t="s">
        <v>410</v>
      </c>
      <c r="F33" s="194" t="s">
        <v>411</v>
      </c>
      <c r="G33" s="194" t="s">
        <v>106</v>
      </c>
      <c r="H33" s="194" t="s">
        <v>175</v>
      </c>
      <c r="I33" s="194" t="str">
        <f>+CONCATENATE(Table_Query_from_MS_Access_Database_1[[#This Row],[RTE]],Table_Query_from_MS_Access_Database_1[[#This Row],[SEC]],Table_Query_from_MS_Access_Database_1[[#This Row],[SEQ]])</f>
        <v>ELM0208</v>
      </c>
      <c r="J33" s="195"/>
      <c r="K33" s="195">
        <v>42692</v>
      </c>
      <c r="L33" s="195">
        <v>42692</v>
      </c>
      <c r="M33" s="195">
        <v>42716</v>
      </c>
      <c r="N33" s="196">
        <v>-42620.41</v>
      </c>
      <c r="O33" s="196"/>
      <c r="P33" s="196"/>
      <c r="Q33" s="196"/>
      <c r="R33" s="196"/>
      <c r="S33" s="196"/>
      <c r="T33" s="196"/>
      <c r="U33" s="196"/>
      <c r="V33" s="196"/>
      <c r="W33" s="196">
        <f>+SUM(Table_Query_from_MS_Access_Database_1[[#This Row],[CMAQ]:[TA OVER 200K]])</f>
        <v>-42620.41</v>
      </c>
      <c r="X33" s="53">
        <f>X32-Table_Query_from_MS_Access_Database_1[TOTAL OF AMOUNT]</f>
        <v>104544111.46999998</v>
      </c>
      <c r="Y33" s="101"/>
    </row>
    <row r="34" spans="1:25" s="48" customFormat="1" ht="13.2" x14ac:dyDescent="0.3">
      <c r="A34" s="193" t="s">
        <v>384</v>
      </c>
      <c r="B34" s="193" t="s">
        <v>380</v>
      </c>
      <c r="C34" s="194" t="s">
        <v>137</v>
      </c>
      <c r="D34" s="193" t="s">
        <v>9</v>
      </c>
      <c r="E34" s="193" t="s">
        <v>381</v>
      </c>
      <c r="F34" s="194" t="s">
        <v>138</v>
      </c>
      <c r="G34" s="194" t="s">
        <v>106</v>
      </c>
      <c r="H34" s="194" t="s">
        <v>197</v>
      </c>
      <c r="I34" s="194" t="str">
        <f>+CONCATENATE(Table_Query_from_MS_Access_Database_1[[#This Row],[RTE]],Table_Query_from_MS_Access_Database_1[[#This Row],[SEC]],Table_Query_from_MS_Access_Database_1[[#This Row],[SEQ]])</f>
        <v>TMP0239</v>
      </c>
      <c r="J34" s="195"/>
      <c r="K34" s="195">
        <v>42683</v>
      </c>
      <c r="L34" s="195">
        <v>42683</v>
      </c>
      <c r="M34" s="195">
        <v>42716</v>
      </c>
      <c r="N34" s="196"/>
      <c r="O34" s="196"/>
      <c r="P34" s="196">
        <v>-906.52</v>
      </c>
      <c r="Q34" s="196"/>
      <c r="R34" s="196"/>
      <c r="S34" s="196"/>
      <c r="T34" s="196"/>
      <c r="U34" s="196"/>
      <c r="V34" s="196"/>
      <c r="W34" s="196">
        <f>+SUM(Table_Query_from_MS_Access_Database_1[[#This Row],[CMAQ]:[TA OVER 200K]])</f>
        <v>-906.52</v>
      </c>
      <c r="X34" s="53">
        <f>X33-Table_Query_from_MS_Access_Database_1[TOTAL OF AMOUNT]</f>
        <v>104545017.98999998</v>
      </c>
      <c r="Y34" s="101"/>
    </row>
    <row r="35" spans="1:25" s="48" customFormat="1" ht="26.4" x14ac:dyDescent="0.3">
      <c r="A35" s="223" t="s">
        <v>372</v>
      </c>
      <c r="B35" s="223" t="s">
        <v>373</v>
      </c>
      <c r="C35" s="102" t="s">
        <v>134</v>
      </c>
      <c r="D35" s="223" t="s">
        <v>9</v>
      </c>
      <c r="E35" s="223" t="s">
        <v>370</v>
      </c>
      <c r="F35" s="102" t="s">
        <v>135</v>
      </c>
      <c r="G35" s="102" t="s">
        <v>106</v>
      </c>
      <c r="H35" s="102" t="s">
        <v>371</v>
      </c>
      <c r="I35" s="102" t="str">
        <f>+CONCATENATE(Table_Query_from_MS_Access_Database_1[[#This Row],[RTE]],Table_Query_from_MS_Access_Database_1[[#This Row],[SEC]],Table_Query_from_MS_Access_Database_1[[#This Row],[SEQ]])</f>
        <v>CHN0226</v>
      </c>
      <c r="J35" s="161"/>
      <c r="K35" s="161">
        <v>42683</v>
      </c>
      <c r="L35" s="161">
        <v>42683</v>
      </c>
      <c r="M35" s="161">
        <v>42716</v>
      </c>
      <c r="N35" s="158"/>
      <c r="O35" s="158"/>
      <c r="P35" s="158">
        <v>-865.45</v>
      </c>
      <c r="Q35" s="158"/>
      <c r="R35" s="158"/>
      <c r="S35" s="158"/>
      <c r="T35" s="158"/>
      <c r="U35" s="158"/>
      <c r="V35" s="158"/>
      <c r="W35" s="158">
        <f>+SUM(Table_Query_from_MS_Access_Database_1[[#This Row],[CMAQ]:[TA OVER 200K]])</f>
        <v>-865.45</v>
      </c>
      <c r="X35" s="53">
        <f>X34-Table_Query_from_MS_Access_Database_1[TOTAL OF AMOUNT]</f>
        <v>104545883.43999998</v>
      </c>
      <c r="Y35" s="101"/>
    </row>
    <row r="36" spans="1:25" s="48" customFormat="1" ht="13.2" x14ac:dyDescent="0.3">
      <c r="A36" s="208" t="s">
        <v>387</v>
      </c>
      <c r="B36" s="208"/>
      <c r="C36" s="209" t="s">
        <v>330</v>
      </c>
      <c r="D36" s="208" t="s">
        <v>9</v>
      </c>
      <c r="E36" s="208" t="s">
        <v>388</v>
      </c>
      <c r="F36" s="209" t="s">
        <v>332</v>
      </c>
      <c r="G36" s="209" t="s">
        <v>106</v>
      </c>
      <c r="H36" s="209" t="s">
        <v>389</v>
      </c>
      <c r="I36" s="209" t="str">
        <f>+CONCATENATE(Table_Query_from_MS_Access_Database_1[[#This Row],[RTE]],Table_Query_from_MS_Access_Database_1[[#This Row],[SEC]],Table_Query_from_MS_Access_Database_1[[#This Row],[SEQ]])</f>
        <v>MES0214</v>
      </c>
      <c r="J36" s="210"/>
      <c r="K36" s="210">
        <v>42682</v>
      </c>
      <c r="L36" s="210">
        <v>42682</v>
      </c>
      <c r="M36" s="210">
        <v>42718</v>
      </c>
      <c r="N36" s="211">
        <v>-81459.37</v>
      </c>
      <c r="O36" s="211"/>
      <c r="P36" s="211"/>
      <c r="Q36" s="211"/>
      <c r="R36" s="211"/>
      <c r="S36" s="211"/>
      <c r="T36" s="211"/>
      <c r="U36" s="211"/>
      <c r="V36" s="211"/>
      <c r="W36" s="211">
        <f>+SUM(Table_Query_from_MS_Access_Database_1[[#This Row],[CMAQ]:[TA OVER 200K]])</f>
        <v>-81459.37</v>
      </c>
      <c r="X36" s="53">
        <f>X35-Table_Query_from_MS_Access_Database_1[TOTAL OF AMOUNT]</f>
        <v>104627342.80999999</v>
      </c>
      <c r="Y36" s="101"/>
    </row>
    <row r="37" spans="1:25" s="48" customFormat="1" ht="13.2" x14ac:dyDescent="0.3">
      <c r="A37" s="208" t="s">
        <v>377</v>
      </c>
      <c r="B37" s="208"/>
      <c r="C37" s="209" t="s">
        <v>198</v>
      </c>
      <c r="D37" s="208" t="s">
        <v>9</v>
      </c>
      <c r="E37" s="208" t="s">
        <v>378</v>
      </c>
      <c r="F37" s="209" t="s">
        <v>199</v>
      </c>
      <c r="G37" s="209" t="s">
        <v>106</v>
      </c>
      <c r="H37" s="209" t="s">
        <v>243</v>
      </c>
      <c r="I37" s="209" t="str">
        <f>+CONCATENATE(Table_Query_from_MS_Access_Database_1[[#This Row],[RTE]],Table_Query_from_MS_Access_Database_1[[#This Row],[SEC]],Table_Query_from_MS_Access_Database_1[[#This Row],[SEQ]])</f>
        <v>SCT0222</v>
      </c>
      <c r="J37" s="210"/>
      <c r="K37" s="210">
        <v>42683</v>
      </c>
      <c r="L37" s="210">
        <v>42683</v>
      </c>
      <c r="M37" s="210">
        <v>42718</v>
      </c>
      <c r="N37" s="211"/>
      <c r="O37" s="211"/>
      <c r="P37" s="211">
        <v>-1016.87</v>
      </c>
      <c r="Q37" s="211"/>
      <c r="R37" s="211"/>
      <c r="S37" s="211"/>
      <c r="T37" s="211"/>
      <c r="U37" s="211"/>
      <c r="V37" s="211"/>
      <c r="W37" s="211">
        <f>+SUM(Table_Query_from_MS_Access_Database_1[[#This Row],[CMAQ]:[TA OVER 200K]])</f>
        <v>-1016.87</v>
      </c>
      <c r="X37" s="53">
        <f>X36-Table_Query_from_MS_Access_Database_1[TOTAL OF AMOUNT]</f>
        <v>104628359.67999999</v>
      </c>
      <c r="Y37" s="101"/>
    </row>
    <row r="38" spans="1:25" s="48" customFormat="1" ht="13.2" x14ac:dyDescent="0.3">
      <c r="A38" s="208" t="s">
        <v>365</v>
      </c>
      <c r="B38" s="208"/>
      <c r="C38" s="209" t="s">
        <v>107</v>
      </c>
      <c r="D38" s="208" t="s">
        <v>9</v>
      </c>
      <c r="E38" s="208" t="s">
        <v>366</v>
      </c>
      <c r="F38" s="209" t="s">
        <v>108</v>
      </c>
      <c r="G38" s="209" t="s">
        <v>106</v>
      </c>
      <c r="H38" s="209" t="s">
        <v>367</v>
      </c>
      <c r="I38" s="209" t="str">
        <f>+CONCATENATE(Table_Query_from_MS_Access_Database_1[[#This Row],[RTE]],Table_Query_from_MS_Access_Database_1[[#This Row],[SEC]],Table_Query_from_MS_Access_Database_1[[#This Row],[SEQ]])</f>
        <v>PHX0265</v>
      </c>
      <c r="J38" s="210"/>
      <c r="K38" s="210">
        <v>42683</v>
      </c>
      <c r="L38" s="210">
        <v>42683</v>
      </c>
      <c r="M38" s="210">
        <v>42718</v>
      </c>
      <c r="N38" s="211"/>
      <c r="O38" s="211"/>
      <c r="P38" s="211">
        <v>-76874.070000000007</v>
      </c>
      <c r="Q38" s="211"/>
      <c r="R38" s="211"/>
      <c r="S38" s="211"/>
      <c r="T38" s="211"/>
      <c r="U38" s="211"/>
      <c r="V38" s="211"/>
      <c r="W38" s="211">
        <f>+SUM(Table_Query_from_MS_Access_Database_1[[#This Row],[CMAQ]:[TA OVER 200K]])</f>
        <v>-76874.070000000007</v>
      </c>
      <c r="X38" s="53">
        <f>X37-Table_Query_from_MS_Access_Database_1[TOTAL OF AMOUNT]</f>
        <v>104705233.74999999</v>
      </c>
      <c r="Y38" s="101"/>
    </row>
    <row r="39" spans="1:25" s="48" customFormat="1" ht="13.2" x14ac:dyDescent="0.3">
      <c r="A39" s="208" t="s">
        <v>374</v>
      </c>
      <c r="B39" s="208" t="s">
        <v>375</v>
      </c>
      <c r="C39" s="209" t="s">
        <v>198</v>
      </c>
      <c r="D39" s="208" t="s">
        <v>9</v>
      </c>
      <c r="E39" s="208" t="s">
        <v>376</v>
      </c>
      <c r="F39" s="209" t="s">
        <v>199</v>
      </c>
      <c r="G39" s="209" t="s">
        <v>106</v>
      </c>
      <c r="H39" s="209" t="s">
        <v>243</v>
      </c>
      <c r="I39" s="209" t="str">
        <f>+CONCATENATE(Table_Query_from_MS_Access_Database_1[[#This Row],[RTE]],Table_Query_from_MS_Access_Database_1[[#This Row],[SEC]],Table_Query_from_MS_Access_Database_1[[#This Row],[SEQ]])</f>
        <v>SCT0222</v>
      </c>
      <c r="J39" s="210"/>
      <c r="K39" s="210">
        <v>42683</v>
      </c>
      <c r="L39" s="210">
        <v>42683</v>
      </c>
      <c r="M39" s="210">
        <v>42718</v>
      </c>
      <c r="N39" s="211"/>
      <c r="O39" s="211"/>
      <c r="P39" s="211">
        <v>-59153.94</v>
      </c>
      <c r="Q39" s="211"/>
      <c r="R39" s="211"/>
      <c r="S39" s="211"/>
      <c r="T39" s="211"/>
      <c r="U39" s="211"/>
      <c r="V39" s="211"/>
      <c r="W39" s="211">
        <f>+SUM(Table_Query_from_MS_Access_Database_1[[#This Row],[CMAQ]:[TA OVER 200K]])</f>
        <v>-59153.94</v>
      </c>
      <c r="X39" s="53">
        <f>X38-Table_Query_from_MS_Access_Database_1[TOTAL OF AMOUNT]</f>
        <v>104764387.68999998</v>
      </c>
      <c r="Y39" s="101"/>
    </row>
    <row r="40" spans="1:25" s="48" customFormat="1" ht="13.2" x14ac:dyDescent="0.3">
      <c r="A40" s="208" t="s">
        <v>382</v>
      </c>
      <c r="B40" s="208" t="s">
        <v>380</v>
      </c>
      <c r="C40" s="209" t="s">
        <v>107</v>
      </c>
      <c r="D40" s="208" t="s">
        <v>9</v>
      </c>
      <c r="E40" s="208" t="s">
        <v>381</v>
      </c>
      <c r="F40" s="209" t="s">
        <v>108</v>
      </c>
      <c r="G40" s="209" t="s">
        <v>106</v>
      </c>
      <c r="H40" s="209" t="s">
        <v>383</v>
      </c>
      <c r="I40" s="209" t="str">
        <f>+CONCATENATE(Table_Query_from_MS_Access_Database_1[[#This Row],[RTE]],Table_Query_from_MS_Access_Database_1[[#This Row],[SEC]],Table_Query_from_MS_Access_Database_1[[#This Row],[SEQ]])</f>
        <v>PHX0292</v>
      </c>
      <c r="J40" s="210"/>
      <c r="K40" s="210">
        <v>42683</v>
      </c>
      <c r="L40" s="210">
        <v>42683</v>
      </c>
      <c r="M40" s="210">
        <v>42718</v>
      </c>
      <c r="N40" s="211"/>
      <c r="O40" s="211"/>
      <c r="P40" s="211">
        <v>-724.95</v>
      </c>
      <c r="Q40" s="211"/>
      <c r="R40" s="211"/>
      <c r="S40" s="211"/>
      <c r="T40" s="211"/>
      <c r="U40" s="211"/>
      <c r="V40" s="211"/>
      <c r="W40" s="211">
        <f>+SUM(Table_Query_from_MS_Access_Database_1[[#This Row],[CMAQ]:[TA OVER 200K]])</f>
        <v>-724.95</v>
      </c>
      <c r="X40" s="53">
        <f>X39-Table_Query_from_MS_Access_Database_1[TOTAL OF AMOUNT]</f>
        <v>104765112.63999999</v>
      </c>
      <c r="Y40" s="101"/>
    </row>
    <row r="41" spans="1:25" s="48" customFormat="1" ht="26.4" x14ac:dyDescent="0.3">
      <c r="A41" s="205" t="s">
        <v>235</v>
      </c>
      <c r="B41" s="205" t="s">
        <v>236</v>
      </c>
      <c r="C41" s="206" t="s">
        <v>195</v>
      </c>
      <c r="D41" s="205" t="s">
        <v>7</v>
      </c>
      <c r="E41" s="205" t="s">
        <v>237</v>
      </c>
      <c r="F41" s="206" t="s">
        <v>196</v>
      </c>
      <c r="G41" s="206" t="s">
        <v>106</v>
      </c>
      <c r="H41" s="206" t="s">
        <v>216</v>
      </c>
      <c r="I41" s="206" t="str">
        <f>+CONCATENATE(Table_Query_from_MS_Access_Database_1[[#This Row],[RTE]],Table_Query_from_MS_Access_Database_1[[#This Row],[SEC]],Table_Query_from_MS_Access_Database_1[[#This Row],[SEQ]])</f>
        <v>GLN0249</v>
      </c>
      <c r="J41" s="203">
        <v>42736</v>
      </c>
      <c r="K41" s="203">
        <v>42692</v>
      </c>
      <c r="L41" s="203">
        <v>42696</v>
      </c>
      <c r="M41" s="203">
        <v>42719</v>
      </c>
      <c r="N41" s="204">
        <v>555470</v>
      </c>
      <c r="O41" s="204"/>
      <c r="P41" s="204"/>
      <c r="Q41" s="204"/>
      <c r="R41" s="204"/>
      <c r="S41" s="204"/>
      <c r="T41" s="204"/>
      <c r="U41" s="204"/>
      <c r="V41" s="204"/>
      <c r="W41" s="204">
        <f>+SUM(Table_Query_from_MS_Access_Database_1[[#This Row],[CMAQ]:[TA OVER 200K]])</f>
        <v>555470</v>
      </c>
      <c r="X41" s="53">
        <f>X40-Table_Query_from_MS_Access_Database_1[TOTAL OF AMOUNT]</f>
        <v>104209642.63999999</v>
      </c>
      <c r="Y41" s="101"/>
    </row>
    <row r="42" spans="1:25" s="48" customFormat="1" ht="26.4" x14ac:dyDescent="0.3">
      <c r="A42" s="223" t="s">
        <v>362</v>
      </c>
      <c r="B42" s="223" t="s">
        <v>427</v>
      </c>
      <c r="C42" s="102" t="s">
        <v>336</v>
      </c>
      <c r="D42" s="223" t="s">
        <v>7</v>
      </c>
      <c r="E42" s="223" t="s">
        <v>363</v>
      </c>
      <c r="F42" s="102" t="s">
        <v>337</v>
      </c>
      <c r="G42" s="102" t="s">
        <v>106</v>
      </c>
      <c r="H42" s="102" t="s">
        <v>364</v>
      </c>
      <c r="I42" s="102" t="str">
        <f>+CONCATENATE(Table_Query_from_MS_Access_Database_1[[#This Row],[RTE]],Table_Query_from_MS_Access_Database_1[[#This Row],[SEC]],Table_Query_from_MS_Access_Database_1[[#This Row],[SEQ]])</f>
        <v>SUR0229</v>
      </c>
      <c r="J42" s="161">
        <v>42736</v>
      </c>
      <c r="K42" s="161">
        <v>42690</v>
      </c>
      <c r="L42" s="161">
        <v>42705</v>
      </c>
      <c r="M42" s="161">
        <v>42724</v>
      </c>
      <c r="N42" s="158"/>
      <c r="O42" s="158"/>
      <c r="P42" s="158"/>
      <c r="Q42" s="158"/>
      <c r="R42" s="158"/>
      <c r="S42" s="158"/>
      <c r="T42" s="158"/>
      <c r="U42" s="158"/>
      <c r="V42" s="158">
        <v>94300</v>
      </c>
      <c r="W42" s="158">
        <f>+SUM(Table_Query_from_MS_Access_Database_1[[#This Row],[CMAQ]:[TA OVER 200K]])</f>
        <v>94300</v>
      </c>
      <c r="X42" s="53">
        <f>X41-Table_Query_from_MS_Access_Database_1[TOTAL OF AMOUNT]</f>
        <v>104115342.63999999</v>
      </c>
      <c r="Y42" s="101"/>
    </row>
    <row r="43" spans="1:25" s="48" customFormat="1" ht="26.4" x14ac:dyDescent="0.3">
      <c r="A43" s="205" t="s">
        <v>413</v>
      </c>
      <c r="B43" s="205" t="s">
        <v>414</v>
      </c>
      <c r="C43" s="206" t="s">
        <v>297</v>
      </c>
      <c r="D43" s="205" t="s">
        <v>21</v>
      </c>
      <c r="E43" s="205" t="s">
        <v>415</v>
      </c>
      <c r="F43" s="206" t="s">
        <v>299</v>
      </c>
      <c r="G43" s="206" t="s">
        <v>106</v>
      </c>
      <c r="H43" s="206" t="s">
        <v>282</v>
      </c>
      <c r="I43" s="206" t="str">
        <f>+CONCATENATE(Table_Query_from_MS_Access_Database_1[[#This Row],[RTE]],Table_Query_from_MS_Access_Database_1[[#This Row],[SEC]],Table_Query_from_MS_Access_Database_1[[#This Row],[SEQ]])</f>
        <v>PPN0210</v>
      </c>
      <c r="J43" s="203"/>
      <c r="K43" s="203">
        <v>42692</v>
      </c>
      <c r="L43" s="203">
        <v>42726</v>
      </c>
      <c r="M43" s="203">
        <v>42752</v>
      </c>
      <c r="N43" s="204"/>
      <c r="O43" s="204">
        <v>-183152</v>
      </c>
      <c r="P43" s="204"/>
      <c r="Q43" s="204"/>
      <c r="R43" s="204"/>
      <c r="S43" s="204"/>
      <c r="T43" s="204"/>
      <c r="U43" s="204"/>
      <c r="V43" s="204"/>
      <c r="W43" s="204">
        <f>+SUM(Table_Query_from_MS_Access_Database_1[[#This Row],[CMAQ]:[TA OVER 200K]])</f>
        <v>-183152</v>
      </c>
      <c r="X43" s="53">
        <f>X42-Table_Query_from_MS_Access_Database_1[TOTAL OF AMOUNT]</f>
        <v>104298494.63999999</v>
      </c>
      <c r="Y43" s="101"/>
    </row>
    <row r="44" spans="1:25" s="48" customFormat="1" ht="13.2" x14ac:dyDescent="0.3">
      <c r="A44" s="205" t="s">
        <v>379</v>
      </c>
      <c r="B44" s="205" t="s">
        <v>380</v>
      </c>
      <c r="C44" s="206" t="s">
        <v>173</v>
      </c>
      <c r="D44" s="205" t="s">
        <v>9</v>
      </c>
      <c r="E44" s="205" t="s">
        <v>381</v>
      </c>
      <c r="F44" s="206" t="s">
        <v>174</v>
      </c>
      <c r="G44" s="206" t="s">
        <v>106</v>
      </c>
      <c r="H44" s="206" t="s">
        <v>205</v>
      </c>
      <c r="I44" s="206" t="str">
        <f>+CONCATENATE(Table_Query_from_MS_Access_Database_1[[#This Row],[RTE]],Table_Query_from_MS_Access_Database_1[[#This Row],[SEC]],Table_Query_from_MS_Access_Database_1[[#This Row],[SEQ]])</f>
        <v>PE00221</v>
      </c>
      <c r="J44" s="203"/>
      <c r="K44" s="203">
        <v>42683</v>
      </c>
      <c r="L44" s="203">
        <v>42683</v>
      </c>
      <c r="M44" s="203">
        <v>42752</v>
      </c>
      <c r="N44" s="204"/>
      <c r="O44" s="204"/>
      <c r="P44" s="204">
        <v>-858.13</v>
      </c>
      <c r="Q44" s="204"/>
      <c r="R44" s="204"/>
      <c r="S44" s="204"/>
      <c r="T44" s="204"/>
      <c r="U44" s="204"/>
      <c r="V44" s="204"/>
      <c r="W44" s="204">
        <f>+SUM(Table_Query_from_MS_Access_Database_1[[#This Row],[CMAQ]:[TA OVER 200K]])</f>
        <v>-858.13</v>
      </c>
      <c r="X44" s="53">
        <f>X43-Table_Query_from_MS_Access_Database_1[TOTAL OF AMOUNT]</f>
        <v>104299352.76999998</v>
      </c>
      <c r="Y44" s="101"/>
    </row>
    <row r="45" spans="1:25" s="48" customFormat="1" ht="13.2" x14ac:dyDescent="0.3">
      <c r="A45" s="208" t="s">
        <v>385</v>
      </c>
      <c r="B45" s="208" t="s">
        <v>380</v>
      </c>
      <c r="C45" s="209" t="s">
        <v>321</v>
      </c>
      <c r="D45" s="208" t="s">
        <v>9</v>
      </c>
      <c r="E45" s="208" t="s">
        <v>381</v>
      </c>
      <c r="F45" s="209" t="s">
        <v>322</v>
      </c>
      <c r="G45" s="209" t="s">
        <v>106</v>
      </c>
      <c r="H45" s="209" t="s">
        <v>386</v>
      </c>
      <c r="I45" s="209" t="str">
        <f>+CONCATENATE(Table_Query_from_MS_Access_Database_1[[#This Row],[RTE]],Table_Query_from_MS_Access_Database_1[[#This Row],[SEC]],Table_Query_from_MS_Access_Database_1[[#This Row],[SEQ]])</f>
        <v>FTH0209</v>
      </c>
      <c r="J45" s="210"/>
      <c r="K45" s="210">
        <v>42683</v>
      </c>
      <c r="L45" s="210">
        <v>42683</v>
      </c>
      <c r="M45" s="210">
        <v>42752</v>
      </c>
      <c r="N45" s="211"/>
      <c r="O45" s="211"/>
      <c r="P45" s="211">
        <v>-739.85</v>
      </c>
      <c r="Q45" s="211"/>
      <c r="R45" s="211"/>
      <c r="S45" s="211"/>
      <c r="T45" s="211"/>
      <c r="U45" s="211"/>
      <c r="V45" s="211"/>
      <c r="W45" s="211">
        <f>+SUM(Table_Query_from_MS_Access_Database_1[[#This Row],[CMAQ]:[TA OVER 200K]])</f>
        <v>-739.85</v>
      </c>
      <c r="X45" s="53">
        <f>X44-Table_Query_from_MS_Access_Database_1[TOTAL OF AMOUNT]</f>
        <v>104300092.61999997</v>
      </c>
      <c r="Y45" s="101"/>
    </row>
    <row r="46" spans="1:25" s="48" customFormat="1" ht="26.4" x14ac:dyDescent="0.3">
      <c r="A46" s="208" t="s">
        <v>428</v>
      </c>
      <c r="B46" s="208" t="s">
        <v>429</v>
      </c>
      <c r="C46" s="209" t="s">
        <v>140</v>
      </c>
      <c r="D46" s="208" t="s">
        <v>9</v>
      </c>
      <c r="E46" s="208" t="s">
        <v>430</v>
      </c>
      <c r="F46" s="209" t="s">
        <v>136</v>
      </c>
      <c r="G46" s="209" t="s">
        <v>106</v>
      </c>
      <c r="H46" s="209" t="s">
        <v>431</v>
      </c>
      <c r="I46" s="209" t="str">
        <f>+CONCATENATE(Table_Query_from_MS_Access_Database_1[[#This Row],[RTE]],Table_Query_from_MS_Access_Database_1[[#This Row],[SEC]],Table_Query_from_MS_Access_Database_1[[#This Row],[SEQ]])</f>
        <v>MMA0218</v>
      </c>
      <c r="J46" s="210"/>
      <c r="K46" s="210">
        <v>42739</v>
      </c>
      <c r="L46" s="210">
        <v>42739</v>
      </c>
      <c r="M46" s="210">
        <v>42752</v>
      </c>
      <c r="N46" s="211"/>
      <c r="O46" s="211"/>
      <c r="P46" s="211"/>
      <c r="Q46" s="211"/>
      <c r="R46" s="211"/>
      <c r="S46" s="211">
        <v>-1400000</v>
      </c>
      <c r="T46" s="211"/>
      <c r="U46" s="211"/>
      <c r="V46" s="211"/>
      <c r="W46" s="211">
        <f>+SUM(Table_Query_from_MS_Access_Database_1[[#This Row],[CMAQ]:[TA OVER 200K]])</f>
        <v>-1400000</v>
      </c>
      <c r="X46" s="53">
        <f>X45-Table_Query_from_MS_Access_Database_1[TOTAL OF AMOUNT]</f>
        <v>105700092.61999997</v>
      </c>
      <c r="Y46" s="101"/>
    </row>
    <row r="47" spans="1:25" s="48" customFormat="1" ht="26.4" x14ac:dyDescent="0.3">
      <c r="A47" s="208" t="s">
        <v>432</v>
      </c>
      <c r="B47" s="208" t="s">
        <v>433</v>
      </c>
      <c r="C47" s="209" t="s">
        <v>140</v>
      </c>
      <c r="D47" s="208" t="s">
        <v>9</v>
      </c>
      <c r="E47" s="208" t="s">
        <v>430</v>
      </c>
      <c r="F47" s="209" t="s">
        <v>136</v>
      </c>
      <c r="G47" s="209" t="s">
        <v>106</v>
      </c>
      <c r="H47" s="209" t="s">
        <v>431</v>
      </c>
      <c r="I47" s="209" t="str">
        <f>+CONCATENATE(Table_Query_from_MS_Access_Database_1[[#This Row],[RTE]],Table_Query_from_MS_Access_Database_1[[#This Row],[SEC]],Table_Query_from_MS_Access_Database_1[[#This Row],[SEQ]])</f>
        <v>MMA0218</v>
      </c>
      <c r="J47" s="210"/>
      <c r="K47" s="210">
        <v>42739</v>
      </c>
      <c r="L47" s="210">
        <v>42739</v>
      </c>
      <c r="M47" s="210">
        <v>42752</v>
      </c>
      <c r="N47" s="211"/>
      <c r="O47" s="211"/>
      <c r="P47" s="211"/>
      <c r="Q47" s="211"/>
      <c r="R47" s="211"/>
      <c r="S47" s="211"/>
      <c r="T47" s="211">
        <v>-2829</v>
      </c>
      <c r="U47" s="211"/>
      <c r="V47" s="211"/>
      <c r="W47" s="211">
        <f>+SUM(Table_Query_from_MS_Access_Database_1[[#This Row],[CMAQ]:[TA OVER 200K]])</f>
        <v>-2829</v>
      </c>
      <c r="X47" s="53">
        <f>X46-Table_Query_from_MS_Access_Database_1[TOTAL OF AMOUNT]</f>
        <v>105702921.61999997</v>
      </c>
      <c r="Y47" s="101"/>
    </row>
    <row r="48" spans="1:25" s="48" customFormat="1" ht="26.4" x14ac:dyDescent="0.3">
      <c r="A48" s="208" t="s">
        <v>395</v>
      </c>
      <c r="B48" s="208"/>
      <c r="C48" s="209" t="s">
        <v>195</v>
      </c>
      <c r="D48" s="208" t="s">
        <v>9</v>
      </c>
      <c r="E48" s="208" t="s">
        <v>396</v>
      </c>
      <c r="F48" s="209" t="s">
        <v>196</v>
      </c>
      <c r="G48" s="209" t="s">
        <v>106</v>
      </c>
      <c r="H48" s="209" t="s">
        <v>397</v>
      </c>
      <c r="I48" s="209" t="str">
        <f>+CONCATENATE(Table_Query_from_MS_Access_Database_1[[#This Row],[RTE]],Table_Query_from_MS_Access_Database_1[[#This Row],[SEC]],Table_Query_from_MS_Access_Database_1[[#This Row],[SEQ]])</f>
        <v>GLN0232</v>
      </c>
      <c r="J48" s="210"/>
      <c r="K48" s="210">
        <v>42703</v>
      </c>
      <c r="L48" s="210">
        <v>42703</v>
      </c>
      <c r="M48" s="210">
        <v>42752</v>
      </c>
      <c r="N48" s="211"/>
      <c r="O48" s="211"/>
      <c r="P48" s="211"/>
      <c r="Q48" s="211"/>
      <c r="R48" s="211"/>
      <c r="S48" s="211">
        <v>-60177.120000000003</v>
      </c>
      <c r="T48" s="211"/>
      <c r="U48" s="211"/>
      <c r="V48" s="211"/>
      <c r="W48" s="211">
        <f>+SUM(Table_Query_from_MS_Access_Database_1[[#This Row],[CMAQ]:[TA OVER 200K]])</f>
        <v>-60177.120000000003</v>
      </c>
      <c r="X48" s="53">
        <f>X47-Table_Query_from_MS_Access_Database_1[TOTAL OF AMOUNT]</f>
        <v>105763098.73999998</v>
      </c>
      <c r="Y48" s="101"/>
    </row>
    <row r="49" spans="1:25" s="48" customFormat="1" ht="26.4" x14ac:dyDescent="0.3">
      <c r="A49" s="205" t="s">
        <v>441</v>
      </c>
      <c r="B49" s="205" t="s">
        <v>439</v>
      </c>
      <c r="C49" s="206" t="s">
        <v>195</v>
      </c>
      <c r="D49" s="205" t="s">
        <v>9</v>
      </c>
      <c r="E49" s="205" t="s">
        <v>442</v>
      </c>
      <c r="F49" s="206" t="s">
        <v>196</v>
      </c>
      <c r="G49" s="206" t="s">
        <v>106</v>
      </c>
      <c r="H49" s="206" t="s">
        <v>205</v>
      </c>
      <c r="I49" s="206" t="str">
        <f>+CONCATENATE(Table_Query_from_MS_Access_Database_1[[#This Row],[RTE]],Table_Query_from_MS_Access_Database_1[[#This Row],[SEC]],Table_Query_from_MS_Access_Database_1[[#This Row],[SEQ]])</f>
        <v>GLN0221</v>
      </c>
      <c r="J49" s="203"/>
      <c r="K49" s="203">
        <v>42741</v>
      </c>
      <c r="L49" s="203">
        <v>42741</v>
      </c>
      <c r="M49" s="203">
        <v>42773</v>
      </c>
      <c r="N49" s="204">
        <v>-43.08</v>
      </c>
      <c r="O49" s="204"/>
      <c r="P49" s="204"/>
      <c r="Q49" s="204"/>
      <c r="R49" s="204"/>
      <c r="S49" s="204"/>
      <c r="T49" s="204"/>
      <c r="U49" s="204"/>
      <c r="V49" s="204"/>
      <c r="W49" s="204">
        <f>+SUM(Table_Query_from_MS_Access_Database_1[[#This Row],[CMAQ]:[TA OVER 200K]])</f>
        <v>-43.08</v>
      </c>
      <c r="X49" s="53">
        <f>X48-Table_Query_from_MS_Access_Database_1[TOTAL OF AMOUNT]</f>
        <v>105763141.81999998</v>
      </c>
      <c r="Y49" s="101"/>
    </row>
    <row r="50" spans="1:25" s="48" customFormat="1" ht="26.4" x14ac:dyDescent="0.3">
      <c r="A50" s="205" t="s">
        <v>495</v>
      </c>
      <c r="B50" s="205" t="s">
        <v>496</v>
      </c>
      <c r="C50" s="206" t="s">
        <v>137</v>
      </c>
      <c r="D50" s="205" t="s">
        <v>9</v>
      </c>
      <c r="E50" s="205" t="s">
        <v>497</v>
      </c>
      <c r="F50" s="206" t="s">
        <v>138</v>
      </c>
      <c r="G50" s="206" t="s">
        <v>106</v>
      </c>
      <c r="H50" s="206" t="s">
        <v>498</v>
      </c>
      <c r="I50" s="206" t="str">
        <f>+CONCATENATE(Table_Query_from_MS_Access_Database_1[[#This Row],[RTE]],Table_Query_from_MS_Access_Database_1[[#This Row],[SEC]],Table_Query_from_MS_Access_Database_1[[#This Row],[SEQ]])</f>
        <v>TMP0237</v>
      </c>
      <c r="J50" s="203"/>
      <c r="K50" s="203">
        <v>42758</v>
      </c>
      <c r="L50" s="203">
        <v>42758</v>
      </c>
      <c r="M50" s="203">
        <v>42773</v>
      </c>
      <c r="N50" s="204"/>
      <c r="O50" s="204"/>
      <c r="P50" s="204">
        <v>-11606.11</v>
      </c>
      <c r="Q50" s="204"/>
      <c r="R50" s="204"/>
      <c r="S50" s="204"/>
      <c r="T50" s="204"/>
      <c r="U50" s="204"/>
      <c r="V50" s="204"/>
      <c r="W50" s="204">
        <f>+SUM(Table_Query_from_MS_Access_Database_1[[#This Row],[CMAQ]:[TA OVER 200K]])</f>
        <v>-11606.11</v>
      </c>
      <c r="X50" s="53">
        <f>X49-Table_Query_from_MS_Access_Database_1[TOTAL OF AMOUNT]</f>
        <v>105774747.92999998</v>
      </c>
      <c r="Y50" s="101"/>
    </row>
    <row r="51" spans="1:25" s="48" customFormat="1" ht="13.2" x14ac:dyDescent="0.3">
      <c r="A51" s="223" t="s">
        <v>438</v>
      </c>
      <c r="B51" s="223" t="s">
        <v>439</v>
      </c>
      <c r="C51" s="102" t="s">
        <v>195</v>
      </c>
      <c r="D51" s="223" t="s">
        <v>9</v>
      </c>
      <c r="E51" s="223" t="s">
        <v>440</v>
      </c>
      <c r="F51" s="102" t="s">
        <v>196</v>
      </c>
      <c r="G51" s="102" t="s">
        <v>106</v>
      </c>
      <c r="H51" s="102" t="s">
        <v>205</v>
      </c>
      <c r="I51" s="102" t="str">
        <f>+CONCATENATE(Table_Query_from_MS_Access_Database_1[[#This Row],[RTE]],Table_Query_from_MS_Access_Database_1[[#This Row],[SEC]],Table_Query_from_MS_Access_Database_1[[#This Row],[SEQ]])</f>
        <v>GLN0221</v>
      </c>
      <c r="J51" s="161"/>
      <c r="K51" s="161">
        <v>42741</v>
      </c>
      <c r="L51" s="161">
        <v>42741</v>
      </c>
      <c r="M51" s="161">
        <v>42773</v>
      </c>
      <c r="N51" s="158">
        <v>-60366.81</v>
      </c>
      <c r="O51" s="158"/>
      <c r="P51" s="158"/>
      <c r="Q51" s="158"/>
      <c r="R51" s="158"/>
      <c r="S51" s="158"/>
      <c r="T51" s="158"/>
      <c r="U51" s="158"/>
      <c r="V51" s="158"/>
      <c r="W51" s="158">
        <f>+SUM(Table_Query_from_MS_Access_Database_1[[#This Row],[CMAQ]:[TA OVER 200K]])</f>
        <v>-60366.81</v>
      </c>
      <c r="X51" s="53">
        <f>X50-Table_Query_from_MS_Access_Database_1[TOTAL OF AMOUNT]</f>
        <v>105835114.73999998</v>
      </c>
      <c r="Y51" s="101"/>
    </row>
    <row r="52" spans="1:25" s="48" customFormat="1" ht="26.4" x14ac:dyDescent="0.3">
      <c r="A52" s="208" t="s">
        <v>398</v>
      </c>
      <c r="B52" s="208" t="s">
        <v>399</v>
      </c>
      <c r="C52" s="209" t="s">
        <v>140</v>
      </c>
      <c r="D52" s="208" t="s">
        <v>9</v>
      </c>
      <c r="E52" s="208" t="s">
        <v>400</v>
      </c>
      <c r="F52" s="209" t="s">
        <v>136</v>
      </c>
      <c r="G52" s="209" t="s">
        <v>106</v>
      </c>
      <c r="H52" s="209" t="s">
        <v>240</v>
      </c>
      <c r="I52" s="209" t="str">
        <f>+CONCATENATE(Table_Query_from_MS_Access_Database_1[[#This Row],[RTE]],Table_Query_from_MS_Access_Database_1[[#This Row],[SEC]],Table_Query_from_MS_Access_Database_1[[#This Row],[SEQ]])</f>
        <v>MMA0240</v>
      </c>
      <c r="J52" s="210"/>
      <c r="K52" s="210">
        <v>42689</v>
      </c>
      <c r="L52" s="210">
        <v>42689</v>
      </c>
      <c r="M52" s="210">
        <v>42775</v>
      </c>
      <c r="N52" s="211"/>
      <c r="O52" s="211"/>
      <c r="P52" s="211"/>
      <c r="Q52" s="211"/>
      <c r="R52" s="211"/>
      <c r="S52" s="211">
        <v>-6752.46</v>
      </c>
      <c r="T52" s="211"/>
      <c r="U52" s="211"/>
      <c r="V52" s="211"/>
      <c r="W52" s="211">
        <f>+SUM(Table_Query_from_MS_Access_Database_1[[#This Row],[CMAQ]:[TA OVER 200K]])</f>
        <v>-6752.46</v>
      </c>
      <c r="X52" s="53">
        <f>X51-Table_Query_from_MS_Access_Database_1[TOTAL OF AMOUNT]</f>
        <v>105841867.19999997</v>
      </c>
      <c r="Y52" s="101"/>
    </row>
    <row r="53" spans="1:25" s="48" customFormat="1" ht="26.4" x14ac:dyDescent="0.3">
      <c r="A53" s="208" t="s">
        <v>401</v>
      </c>
      <c r="B53" s="208"/>
      <c r="C53" s="209" t="s">
        <v>140</v>
      </c>
      <c r="D53" s="208" t="s">
        <v>9</v>
      </c>
      <c r="E53" s="208" t="s">
        <v>400</v>
      </c>
      <c r="F53" s="209" t="s">
        <v>136</v>
      </c>
      <c r="G53" s="209" t="s">
        <v>106</v>
      </c>
      <c r="H53" s="209" t="s">
        <v>240</v>
      </c>
      <c r="I53" s="209" t="str">
        <f>+CONCATENATE(Table_Query_from_MS_Access_Database_1[[#This Row],[RTE]],Table_Query_from_MS_Access_Database_1[[#This Row],[SEC]],Table_Query_from_MS_Access_Database_1[[#This Row],[SEQ]])</f>
        <v>MMA0240</v>
      </c>
      <c r="J53" s="210"/>
      <c r="K53" s="210">
        <v>42689</v>
      </c>
      <c r="L53" s="210">
        <v>42689</v>
      </c>
      <c r="M53" s="210">
        <v>42775</v>
      </c>
      <c r="N53" s="211"/>
      <c r="O53" s="211"/>
      <c r="P53" s="211"/>
      <c r="Q53" s="211"/>
      <c r="R53" s="211"/>
      <c r="S53" s="211">
        <v>-11727.19</v>
      </c>
      <c r="T53" s="211"/>
      <c r="U53" s="211"/>
      <c r="V53" s="211"/>
      <c r="W53" s="211">
        <f>+SUM(Table_Query_from_MS_Access_Database_1[[#This Row],[CMAQ]:[TA OVER 200K]])</f>
        <v>-11727.19</v>
      </c>
      <c r="X53" s="53">
        <f>X52-Table_Query_from_MS_Access_Database_1[TOTAL OF AMOUNT]</f>
        <v>105853594.38999997</v>
      </c>
      <c r="Y53" s="101"/>
    </row>
    <row r="54" spans="1:25" s="48" customFormat="1" ht="13.2" x14ac:dyDescent="0.3">
      <c r="A54" s="187" t="s">
        <v>511</v>
      </c>
      <c r="B54" s="187" t="s">
        <v>512</v>
      </c>
      <c r="C54" s="188" t="s">
        <v>109</v>
      </c>
      <c r="D54" s="187" t="s">
        <v>7</v>
      </c>
      <c r="E54" s="187" t="s">
        <v>513</v>
      </c>
      <c r="F54" s="188" t="s">
        <v>514</v>
      </c>
      <c r="G54" s="188" t="s">
        <v>515</v>
      </c>
      <c r="H54" s="188" t="s">
        <v>516</v>
      </c>
      <c r="I54" s="188" t="str">
        <f>+CONCATENATE(Table_Query_from_MS_Access_Database_1[[#This Row],[RTE]],Table_Query_from_MS_Access_Database_1[[#This Row],[SEC]],Table_Query_from_MS_Access_Database_1[[#This Row],[SEQ]])</f>
        <v>202C205</v>
      </c>
      <c r="J54" s="185">
        <v>42767</v>
      </c>
      <c r="K54" s="185">
        <v>42775</v>
      </c>
      <c r="L54" s="185">
        <v>42779</v>
      </c>
      <c r="M54" s="185">
        <v>42793</v>
      </c>
      <c r="N54" s="186">
        <v>6035200</v>
      </c>
      <c r="O54" s="186"/>
      <c r="P54" s="186"/>
      <c r="Q54" s="186"/>
      <c r="R54" s="186"/>
      <c r="S54" s="186"/>
      <c r="T54" s="186"/>
      <c r="U54" s="186"/>
      <c r="V54" s="186"/>
      <c r="W54" s="186">
        <f>+SUM(Table_Query_from_MS_Access_Database_1[[#This Row],[CMAQ]:[TA OVER 200K]])</f>
        <v>6035200</v>
      </c>
      <c r="X54" s="53">
        <f>X53-Table_Query_from_MS_Access_Database_1[TOTAL OF AMOUNT]</f>
        <v>99818394.389999971</v>
      </c>
      <c r="Y54" s="101"/>
    </row>
    <row r="55" spans="1:25" s="48" customFormat="1" ht="26.4" x14ac:dyDescent="0.3">
      <c r="A55" s="193" t="s">
        <v>443</v>
      </c>
      <c r="B55" s="193" t="s">
        <v>318</v>
      </c>
      <c r="C55" s="194" t="s">
        <v>134</v>
      </c>
      <c r="D55" s="193" t="s">
        <v>7</v>
      </c>
      <c r="E55" s="193" t="s">
        <v>320</v>
      </c>
      <c r="F55" s="194" t="s">
        <v>135</v>
      </c>
      <c r="G55" s="194" t="s">
        <v>106</v>
      </c>
      <c r="H55" s="194" t="s">
        <v>184</v>
      </c>
      <c r="I55" s="194" t="str">
        <f>+CONCATENATE(Table_Query_from_MS_Access_Database_1[[#This Row],[RTE]],Table_Query_from_MS_Access_Database_1[[#This Row],[SEC]],Table_Query_from_MS_Access_Database_1[[#This Row],[SEQ]])</f>
        <v>CHN0TBD</v>
      </c>
      <c r="J55" s="195">
        <v>42736</v>
      </c>
      <c r="K55" s="195">
        <v>42755</v>
      </c>
      <c r="L55" s="195">
        <v>42773</v>
      </c>
      <c r="M55" s="195">
        <v>42793</v>
      </c>
      <c r="N55" s="196"/>
      <c r="O55" s="196"/>
      <c r="P55" s="196"/>
      <c r="Q55" s="196"/>
      <c r="R55" s="196"/>
      <c r="S55" s="196"/>
      <c r="T55" s="196">
        <v>1721360</v>
      </c>
      <c r="U55" s="196"/>
      <c r="V55" s="196"/>
      <c r="W55" s="196">
        <f>+SUM(Table_Query_from_MS_Access_Database_1[[#This Row],[CMAQ]:[TA OVER 200K]])</f>
        <v>1721360</v>
      </c>
      <c r="X55" s="53">
        <f>X54-Table_Query_from_MS_Access_Database_1[TOTAL OF AMOUNT]</f>
        <v>98097034.389999971</v>
      </c>
      <c r="Y55" s="101"/>
    </row>
    <row r="56" spans="1:25" s="48" customFormat="1" ht="26.4" x14ac:dyDescent="0.3">
      <c r="A56" s="191" t="s">
        <v>499</v>
      </c>
      <c r="B56" s="191" t="s">
        <v>500</v>
      </c>
      <c r="C56" s="192" t="s">
        <v>190</v>
      </c>
      <c r="D56" s="191" t="s">
        <v>21</v>
      </c>
      <c r="E56" s="191" t="s">
        <v>501</v>
      </c>
      <c r="F56" s="192" t="s">
        <v>191</v>
      </c>
      <c r="G56" s="192" t="s">
        <v>106</v>
      </c>
      <c r="H56" s="192" t="s">
        <v>406</v>
      </c>
      <c r="I56" s="192" t="str">
        <f>+CONCATENATE(Table_Query_from_MS_Access_Database_1[[#This Row],[RTE]],Table_Query_from_MS_Access_Database_1[[#This Row],[SEC]],Table_Query_from_MS_Access_Database_1[[#This Row],[SEQ]])</f>
        <v>AVN0216</v>
      </c>
      <c r="J56" s="189"/>
      <c r="K56" s="189">
        <v>42744</v>
      </c>
      <c r="L56" s="189">
        <v>42780</v>
      </c>
      <c r="M56" s="189">
        <v>42795</v>
      </c>
      <c r="N56" s="190">
        <v>-134511</v>
      </c>
      <c r="O56" s="190"/>
      <c r="P56" s="190"/>
      <c r="Q56" s="190"/>
      <c r="R56" s="190"/>
      <c r="S56" s="190"/>
      <c r="T56" s="190"/>
      <c r="U56" s="190"/>
      <c r="V56" s="190"/>
      <c r="W56" s="190">
        <f>+SUM(Table_Query_from_MS_Access_Database_1[[#This Row],[CMAQ]:[TA OVER 200K]])</f>
        <v>-134511</v>
      </c>
      <c r="X56" s="53">
        <f>X55-Table_Query_from_MS_Access_Database_1[TOTAL OF AMOUNT]</f>
        <v>98231545.389999971</v>
      </c>
      <c r="Y56" s="101"/>
    </row>
    <row r="57" spans="1:25" s="48" customFormat="1" ht="13.2" x14ac:dyDescent="0.3">
      <c r="A57" s="205" t="s">
        <v>278</v>
      </c>
      <c r="B57" s="205" t="s">
        <v>279</v>
      </c>
      <c r="C57" s="206" t="s">
        <v>195</v>
      </c>
      <c r="D57" s="205" t="s">
        <v>7</v>
      </c>
      <c r="E57" s="205" t="s">
        <v>280</v>
      </c>
      <c r="F57" s="206" t="s">
        <v>196</v>
      </c>
      <c r="G57" s="206" t="s">
        <v>106</v>
      </c>
      <c r="H57" s="206" t="s">
        <v>281</v>
      </c>
      <c r="I57" s="206" t="str">
        <f>+CONCATENATE(Table_Query_from_MS_Access_Database_1[[#This Row],[RTE]],Table_Query_from_MS_Access_Database_1[[#This Row],[SEC]],Table_Query_from_MS_Access_Database_1[[#This Row],[SEQ]])</f>
        <v>GLN0250</v>
      </c>
      <c r="J57" s="203">
        <v>42783</v>
      </c>
      <c r="K57" s="203">
        <v>42767</v>
      </c>
      <c r="L57" s="203">
        <v>42776</v>
      </c>
      <c r="M57" s="203">
        <v>42796</v>
      </c>
      <c r="N57" s="204"/>
      <c r="O57" s="204"/>
      <c r="P57" s="204"/>
      <c r="Q57" s="204"/>
      <c r="R57" s="204"/>
      <c r="S57" s="204"/>
      <c r="T57" s="204"/>
      <c r="U57" s="204"/>
      <c r="V57" s="204">
        <v>278110</v>
      </c>
      <c r="W57" s="204">
        <f>+SUM(Table_Query_from_MS_Access_Database_1[[#This Row],[CMAQ]:[TA OVER 200K]])</f>
        <v>278110</v>
      </c>
      <c r="X57" s="53">
        <f>X56-Table_Query_from_MS_Access_Database_1[TOTAL OF AMOUNT]</f>
        <v>97953435.389999971</v>
      </c>
      <c r="Y57" s="101"/>
    </row>
    <row r="58" spans="1:25" s="48" customFormat="1" ht="26.4" x14ac:dyDescent="0.3">
      <c r="A58" s="187" t="s">
        <v>264</v>
      </c>
      <c r="B58" s="187" t="s">
        <v>504</v>
      </c>
      <c r="C58" s="188" t="s">
        <v>109</v>
      </c>
      <c r="D58" s="187" t="s">
        <v>21</v>
      </c>
      <c r="E58" s="187" t="s">
        <v>265</v>
      </c>
      <c r="F58" s="188" t="s">
        <v>186</v>
      </c>
      <c r="G58" s="188" t="s">
        <v>266</v>
      </c>
      <c r="H58" s="188" t="s">
        <v>267</v>
      </c>
      <c r="I58" s="188" t="str">
        <f>+CONCATENATE(Table_Query_from_MS_Access_Database_1[[#This Row],[RTE]],Table_Query_from_MS_Access_Database_1[[#This Row],[SEC]],Table_Query_from_MS_Access_Database_1[[#This Row],[SEQ]])</f>
        <v>888A220</v>
      </c>
      <c r="J58" s="185"/>
      <c r="K58" s="185">
        <v>42758</v>
      </c>
      <c r="L58" s="185">
        <v>42793</v>
      </c>
      <c r="M58" s="185">
        <v>42801</v>
      </c>
      <c r="N58" s="186">
        <v>-310636</v>
      </c>
      <c r="O58" s="186"/>
      <c r="P58" s="186"/>
      <c r="Q58" s="186"/>
      <c r="R58" s="186"/>
      <c r="S58" s="186"/>
      <c r="T58" s="186"/>
      <c r="U58" s="186"/>
      <c r="V58" s="186"/>
      <c r="W58" s="186">
        <f>+SUM(Table_Query_from_MS_Access_Database_1[[#This Row],[CMAQ]:[TA OVER 200K]])</f>
        <v>-310636</v>
      </c>
      <c r="X58" s="53">
        <f>X57-Table_Query_from_MS_Access_Database_1[TOTAL OF AMOUNT]</f>
        <v>98264071.389999971</v>
      </c>
      <c r="Y58" s="101"/>
    </row>
    <row r="59" spans="1:25" s="48" customFormat="1" ht="13.2" x14ac:dyDescent="0.3">
      <c r="A59" s="208" t="s">
        <v>295</v>
      </c>
      <c r="B59" s="208" t="s">
        <v>296</v>
      </c>
      <c r="C59" s="209" t="s">
        <v>297</v>
      </c>
      <c r="D59" s="208" t="s">
        <v>7</v>
      </c>
      <c r="E59" s="208" t="s">
        <v>298</v>
      </c>
      <c r="F59" s="209" t="s">
        <v>299</v>
      </c>
      <c r="G59" s="209" t="s">
        <v>106</v>
      </c>
      <c r="H59" s="209" t="s">
        <v>300</v>
      </c>
      <c r="I59" s="209" t="str">
        <f>+CONCATENATE(Table_Query_from_MS_Access_Database_1[[#This Row],[RTE]],Table_Query_from_MS_Access_Database_1[[#This Row],[SEC]],Table_Query_from_MS_Access_Database_1[[#This Row],[SEQ]])</f>
        <v>PPN0211</v>
      </c>
      <c r="J59" s="210">
        <v>42779</v>
      </c>
      <c r="K59" s="210">
        <v>42789</v>
      </c>
      <c r="L59" s="210">
        <v>42796</v>
      </c>
      <c r="M59" s="210">
        <v>42801</v>
      </c>
      <c r="N59" s="211"/>
      <c r="O59" s="211">
        <v>1178750</v>
      </c>
      <c r="P59" s="211"/>
      <c r="Q59" s="211"/>
      <c r="R59" s="211"/>
      <c r="S59" s="211"/>
      <c r="T59" s="211"/>
      <c r="U59" s="211"/>
      <c r="V59" s="211"/>
      <c r="W59" s="211">
        <f>+SUM(Table_Query_from_MS_Access_Database_1[[#This Row],[CMAQ]:[TA OVER 200K]])</f>
        <v>1178750</v>
      </c>
      <c r="X59" s="53">
        <f>X58-Table_Query_from_MS_Access_Database_1[TOTAL OF AMOUNT]</f>
        <v>97085321.389999971</v>
      </c>
      <c r="Y59" s="101"/>
    </row>
    <row r="60" spans="1:25" x14ac:dyDescent="0.3">
      <c r="A60" s="205" t="s">
        <v>232</v>
      </c>
      <c r="B60" s="205" t="s">
        <v>233</v>
      </c>
      <c r="C60" s="206" t="s">
        <v>195</v>
      </c>
      <c r="D60" s="205" t="s">
        <v>7</v>
      </c>
      <c r="E60" s="205" t="s">
        <v>234</v>
      </c>
      <c r="F60" s="206" t="s">
        <v>196</v>
      </c>
      <c r="G60" s="206" t="s">
        <v>106</v>
      </c>
      <c r="H60" s="206" t="s">
        <v>215</v>
      </c>
      <c r="I60" s="206" t="str">
        <f>+CONCATENATE(Table_Query_from_MS_Access_Database_1[[#This Row],[RTE]],Table_Query_from_MS_Access_Database_1[[#This Row],[SEC]],Table_Query_from_MS_Access_Database_1[[#This Row],[SEQ]])</f>
        <v>GLN0248</v>
      </c>
      <c r="J60" s="203">
        <v>42762</v>
      </c>
      <c r="K60" s="203">
        <v>42783</v>
      </c>
      <c r="L60" s="203">
        <v>42790</v>
      </c>
      <c r="M60" s="203">
        <v>42802</v>
      </c>
      <c r="N60" s="204">
        <v>1222191</v>
      </c>
      <c r="O60" s="204"/>
      <c r="P60" s="204"/>
      <c r="Q60" s="204"/>
      <c r="R60" s="204"/>
      <c r="S60" s="204"/>
      <c r="T60" s="204"/>
      <c r="U60" s="204"/>
      <c r="V60" s="204"/>
      <c r="W60" s="204">
        <f>+SUM(Table_Query_from_MS_Access_Database_1[[#This Row],[CMAQ]:[TA OVER 200K]])</f>
        <v>1222191</v>
      </c>
      <c r="X60" s="53">
        <f>X59-Table_Query_from_MS_Access_Database_1[TOTAL OF AMOUNT]</f>
        <v>95863130.389999971</v>
      </c>
    </row>
    <row r="61" spans="1:25" ht="26.4" x14ac:dyDescent="0.3">
      <c r="A61" s="223" t="s">
        <v>334</v>
      </c>
      <c r="B61" s="223" t="s">
        <v>335</v>
      </c>
      <c r="C61" s="102" t="s">
        <v>336</v>
      </c>
      <c r="D61" s="223" t="s">
        <v>7</v>
      </c>
      <c r="E61" s="223" t="s">
        <v>416</v>
      </c>
      <c r="F61" s="102" t="s">
        <v>337</v>
      </c>
      <c r="G61" s="102" t="s">
        <v>106</v>
      </c>
      <c r="H61" s="102" t="s">
        <v>206</v>
      </c>
      <c r="I61" s="102" t="str">
        <f>+CONCATENATE(Table_Query_from_MS_Access_Database_1[[#This Row],[RTE]],Table_Query_from_MS_Access_Database_1[[#This Row],[SEC]],Table_Query_from_MS_Access_Database_1[[#This Row],[SEQ]])</f>
        <v>SUR0224</v>
      </c>
      <c r="J61" s="161">
        <v>42782</v>
      </c>
      <c r="K61" s="161">
        <v>42788</v>
      </c>
      <c r="L61" s="161">
        <v>42794</v>
      </c>
      <c r="M61" s="161">
        <v>42803</v>
      </c>
      <c r="N61" s="158">
        <v>804851</v>
      </c>
      <c r="O61" s="158"/>
      <c r="P61" s="158"/>
      <c r="Q61" s="158"/>
      <c r="R61" s="158"/>
      <c r="S61" s="158"/>
      <c r="T61" s="158"/>
      <c r="U61" s="158"/>
      <c r="V61" s="158"/>
      <c r="W61" s="158">
        <f>+SUM(Table_Query_from_MS_Access_Database_1[[#This Row],[CMAQ]:[TA OVER 200K]])</f>
        <v>804851</v>
      </c>
      <c r="X61" s="53">
        <f>X60-Table_Query_from_MS_Access_Database_1[TOTAL OF AMOUNT]</f>
        <v>95058279.389999971</v>
      </c>
    </row>
    <row r="62" spans="1:25" ht="26.4" x14ac:dyDescent="0.3">
      <c r="A62" s="193" t="s">
        <v>505</v>
      </c>
      <c r="B62" s="193" t="s">
        <v>506</v>
      </c>
      <c r="C62" s="194" t="s">
        <v>176</v>
      </c>
      <c r="D62" s="193" t="s">
        <v>9</v>
      </c>
      <c r="E62" s="193" t="s">
        <v>507</v>
      </c>
      <c r="F62" s="194" t="s">
        <v>177</v>
      </c>
      <c r="G62" s="194" t="s">
        <v>106</v>
      </c>
      <c r="H62" s="194" t="s">
        <v>386</v>
      </c>
      <c r="I62" s="194" t="str">
        <f>+CONCATENATE(Table_Query_from_MS_Access_Database_1[[#This Row],[RTE]],Table_Query_from_MS_Access_Database_1[[#This Row],[SEC]],Table_Query_from_MS_Access_Database_1[[#This Row],[SEQ]])</f>
        <v>BKY0209</v>
      </c>
      <c r="J62" s="195"/>
      <c r="K62" s="195">
        <v>42807</v>
      </c>
      <c r="L62" s="195">
        <v>42807</v>
      </c>
      <c r="M62" s="195">
        <v>42807</v>
      </c>
      <c r="N62" s="196"/>
      <c r="O62" s="196"/>
      <c r="P62" s="196">
        <v>-2204.73</v>
      </c>
      <c r="Q62" s="196"/>
      <c r="R62" s="196"/>
      <c r="S62" s="196"/>
      <c r="T62" s="196"/>
      <c r="U62" s="196"/>
      <c r="V62" s="196"/>
      <c r="W62" s="196">
        <f>+SUM(Table_Query_from_MS_Access_Database_1[[#This Row],[CMAQ]:[TA OVER 200K]])</f>
        <v>-2204.73</v>
      </c>
      <c r="X62" s="53">
        <f>X61-Table_Query_from_MS_Access_Database_1[TOTAL OF AMOUNT]</f>
        <v>95060484.119999975</v>
      </c>
    </row>
    <row r="63" spans="1:25" x14ac:dyDescent="0.3">
      <c r="A63" s="193" t="s">
        <v>457</v>
      </c>
      <c r="B63" s="193" t="s">
        <v>458</v>
      </c>
      <c r="C63" s="194" t="s">
        <v>336</v>
      </c>
      <c r="D63" s="193" t="s">
        <v>9</v>
      </c>
      <c r="E63" s="193" t="s">
        <v>459</v>
      </c>
      <c r="F63" s="194" t="s">
        <v>337</v>
      </c>
      <c r="G63" s="194" t="s">
        <v>106</v>
      </c>
      <c r="H63" s="194" t="s">
        <v>460</v>
      </c>
      <c r="I63" s="194" t="str">
        <f>+CONCATENATE(Table_Query_from_MS_Access_Database_1[[#This Row],[RTE]],Table_Query_from_MS_Access_Database_1[[#This Row],[SEC]],Table_Query_from_MS_Access_Database_1[[#This Row],[SEQ]])</f>
        <v>SUR0219</v>
      </c>
      <c r="J63" s="195"/>
      <c r="K63" s="195">
        <v>42782</v>
      </c>
      <c r="L63" s="195">
        <v>42782</v>
      </c>
      <c r="M63" s="195">
        <v>42810</v>
      </c>
      <c r="N63" s="196">
        <v>-49151.63</v>
      </c>
      <c r="O63" s="196"/>
      <c r="P63" s="196"/>
      <c r="Q63" s="196"/>
      <c r="R63" s="196"/>
      <c r="S63" s="196"/>
      <c r="T63" s="196"/>
      <c r="U63" s="196"/>
      <c r="V63" s="196"/>
      <c r="W63" s="196">
        <f>+SUM(Table_Query_from_MS_Access_Database_1[[#This Row],[CMAQ]:[TA OVER 200K]])</f>
        <v>-49151.63</v>
      </c>
      <c r="X63" s="53">
        <f>X62-Table_Query_from_MS_Access_Database_1[TOTAL OF AMOUNT]</f>
        <v>95109635.74999997</v>
      </c>
    </row>
    <row r="64" spans="1:25" x14ac:dyDescent="0.3">
      <c r="A64" s="207" t="s">
        <v>453</v>
      </c>
      <c r="B64" s="207" t="s">
        <v>454</v>
      </c>
      <c r="C64" s="102" t="s">
        <v>137</v>
      </c>
      <c r="D64" s="207" t="s">
        <v>9</v>
      </c>
      <c r="E64" s="207" t="s">
        <v>455</v>
      </c>
      <c r="F64" s="102" t="s">
        <v>138</v>
      </c>
      <c r="G64" s="102" t="s">
        <v>106</v>
      </c>
      <c r="H64" s="102" t="s">
        <v>456</v>
      </c>
      <c r="I64" s="102" t="str">
        <f>+CONCATENATE(Table_Query_from_MS_Access_Database_1[[#This Row],[RTE]],Table_Query_from_MS_Access_Database_1[[#This Row],[SEC]],Table_Query_from_MS_Access_Database_1[[#This Row],[SEQ]])</f>
        <v>TMP0235</v>
      </c>
      <c r="J64" s="161"/>
      <c r="K64" s="161">
        <v>42782</v>
      </c>
      <c r="L64" s="161">
        <v>42782</v>
      </c>
      <c r="M64" s="161">
        <v>42810</v>
      </c>
      <c r="N64" s="158">
        <v>-541537</v>
      </c>
      <c r="O64" s="158"/>
      <c r="P64" s="158"/>
      <c r="Q64" s="158"/>
      <c r="R64" s="158"/>
      <c r="S64" s="158"/>
      <c r="T64" s="158"/>
      <c r="U64" s="158"/>
      <c r="V64" s="158"/>
      <c r="W64" s="158">
        <f>+SUM(Table_Query_from_MS_Access_Database_1[[#This Row],[CMAQ]:[TA OVER 200K]])</f>
        <v>-541537</v>
      </c>
      <c r="X64" s="53">
        <f>X63-Table_Query_from_MS_Access_Database_1[TOTAL OF AMOUNT]</f>
        <v>95651172.74999997</v>
      </c>
    </row>
    <row r="65" spans="1:24" ht="26.4" x14ac:dyDescent="0.3">
      <c r="A65" s="223" t="s">
        <v>522</v>
      </c>
      <c r="B65" s="223" t="s">
        <v>523</v>
      </c>
      <c r="C65" s="102" t="s">
        <v>176</v>
      </c>
      <c r="D65" s="223" t="s">
        <v>8</v>
      </c>
      <c r="E65" s="223" t="s">
        <v>524</v>
      </c>
      <c r="F65" s="102" t="s">
        <v>177</v>
      </c>
      <c r="G65" s="102" t="s">
        <v>106</v>
      </c>
      <c r="H65" s="102" t="s">
        <v>282</v>
      </c>
      <c r="I65" s="102" t="str">
        <f>+CONCATENATE(Table_Query_from_MS_Access_Database_1[[#This Row],[RTE]],Table_Query_from_MS_Access_Database_1[[#This Row],[SEC]],Table_Query_from_MS_Access_Database_1[[#This Row],[SEQ]])</f>
        <v>BKY0210</v>
      </c>
      <c r="J65" s="161"/>
      <c r="K65" s="161">
        <v>42809</v>
      </c>
      <c r="L65" s="161">
        <v>42809</v>
      </c>
      <c r="M65" s="161">
        <v>42810</v>
      </c>
      <c r="N65" s="158">
        <v>-765567.14</v>
      </c>
      <c r="O65" s="158"/>
      <c r="P65" s="158"/>
      <c r="Q65" s="158"/>
      <c r="R65" s="158"/>
      <c r="S65" s="158"/>
      <c r="T65" s="158"/>
      <c r="U65" s="158"/>
      <c r="V65" s="158"/>
      <c r="W65" s="158">
        <f>+SUM(Table_Query_from_MS_Access_Database_1[[#This Row],[CMAQ]:[TA OVER 200K]])</f>
        <v>-765567.14</v>
      </c>
      <c r="X65" s="53">
        <f>X64-Table_Query_from_MS_Access_Database_1[TOTAL OF AMOUNT]</f>
        <v>96416739.889999971</v>
      </c>
    </row>
    <row r="66" spans="1:24" x14ac:dyDescent="0.3">
      <c r="A66" s="193" t="s">
        <v>435</v>
      </c>
      <c r="B66" s="193"/>
      <c r="C66" s="194" t="s">
        <v>134</v>
      </c>
      <c r="D66" s="193" t="s">
        <v>9</v>
      </c>
      <c r="E66" s="193" t="s">
        <v>436</v>
      </c>
      <c r="F66" s="194" t="s">
        <v>135</v>
      </c>
      <c r="G66" s="194" t="s">
        <v>106</v>
      </c>
      <c r="H66" s="194" t="s">
        <v>437</v>
      </c>
      <c r="I66" s="194" t="str">
        <f>+CONCATENATE(Table_Query_from_MS_Access_Database_1[[#This Row],[RTE]],Table_Query_from_MS_Access_Database_1[[#This Row],[SEC]],Table_Query_from_MS_Access_Database_1[[#This Row],[SEQ]])</f>
        <v>CHN021</v>
      </c>
      <c r="J66" s="195"/>
      <c r="K66" s="195">
        <v>42747</v>
      </c>
      <c r="L66" s="195">
        <v>42747</v>
      </c>
      <c r="M66" s="195">
        <v>42814</v>
      </c>
      <c r="N66" s="196">
        <v>-2530.2800000000002</v>
      </c>
      <c r="O66" s="196"/>
      <c r="P66" s="196"/>
      <c r="Q66" s="196"/>
      <c r="R66" s="196"/>
      <c r="S66" s="196"/>
      <c r="T66" s="196"/>
      <c r="U66" s="196"/>
      <c r="V66" s="196"/>
      <c r="W66" s="196">
        <f>+SUM(Table_Query_from_MS_Access_Database_1[[#This Row],[CMAQ]:[TA OVER 200K]])</f>
        <v>-2530.2800000000002</v>
      </c>
      <c r="X66" s="53">
        <f>X65-Table_Query_from_MS_Access_Database_1[TOTAL OF AMOUNT]</f>
        <v>96419270.169999972</v>
      </c>
    </row>
    <row r="67" spans="1:24" ht="26.4" x14ac:dyDescent="0.3">
      <c r="A67" s="208" t="s">
        <v>287</v>
      </c>
      <c r="B67" s="208" t="s">
        <v>288</v>
      </c>
      <c r="C67" s="209" t="s">
        <v>140</v>
      </c>
      <c r="D67" s="208" t="s">
        <v>7</v>
      </c>
      <c r="E67" s="208" t="s">
        <v>289</v>
      </c>
      <c r="F67" s="209" t="s">
        <v>136</v>
      </c>
      <c r="G67" s="209" t="s">
        <v>106</v>
      </c>
      <c r="H67" s="209" t="s">
        <v>290</v>
      </c>
      <c r="I67" s="209" t="str">
        <f>+CONCATENATE(Table_Query_from_MS_Access_Database_1[[#This Row],[RTE]],Table_Query_from_MS_Access_Database_1[[#This Row],[SEC]],Table_Query_from_MS_Access_Database_1[[#This Row],[SEQ]])</f>
        <v>MMA0253</v>
      </c>
      <c r="J67" s="210">
        <v>42765</v>
      </c>
      <c r="K67" s="210">
        <v>42765</v>
      </c>
      <c r="L67" s="210">
        <v>42782</v>
      </c>
      <c r="M67" s="210">
        <v>42817</v>
      </c>
      <c r="N67" s="211">
        <v>1054627</v>
      </c>
      <c r="O67" s="211"/>
      <c r="P67" s="211"/>
      <c r="Q67" s="211"/>
      <c r="R67" s="211"/>
      <c r="S67" s="211"/>
      <c r="U67" s="211"/>
      <c r="V67" s="211"/>
      <c r="W67" s="211">
        <f>+SUM(Table_Query_from_MS_Access_Database_1[[#This Row],[CMAQ]:[TA OVER 200K]])</f>
        <v>1054627</v>
      </c>
      <c r="X67" s="53">
        <f>X66-Table_Query_from_MS_Access_Database_1[TOTAL OF AMOUNT]</f>
        <v>95364643.169999972</v>
      </c>
    </row>
    <row r="68" spans="1:24" ht="26.4" x14ac:dyDescent="0.3">
      <c r="A68" s="193" t="s">
        <v>461</v>
      </c>
      <c r="B68" s="193" t="s">
        <v>462</v>
      </c>
      <c r="C68" s="194" t="s">
        <v>134</v>
      </c>
      <c r="D68" s="193" t="s">
        <v>21</v>
      </c>
      <c r="E68" s="193" t="s">
        <v>463</v>
      </c>
      <c r="F68" s="194" t="s">
        <v>135</v>
      </c>
      <c r="G68" s="194" t="s">
        <v>106</v>
      </c>
      <c r="H68" s="194" t="s">
        <v>464</v>
      </c>
      <c r="I68" s="194" t="str">
        <f>+CONCATENATE(Table_Query_from_MS_Access_Database_1[[#This Row],[RTE]],Table_Query_from_MS_Access_Database_1[[#This Row],[SEC]],Table_Query_from_MS_Access_Database_1[[#This Row],[SEQ]])</f>
        <v>CHN0231</v>
      </c>
      <c r="J68" s="195">
        <v>42736</v>
      </c>
      <c r="K68" s="195">
        <v>42796</v>
      </c>
      <c r="L68" s="195">
        <v>42823</v>
      </c>
      <c r="M68" s="195">
        <v>42829</v>
      </c>
      <c r="N68" s="196"/>
      <c r="O68" s="196"/>
      <c r="P68" s="196"/>
      <c r="Q68" s="196"/>
      <c r="R68" s="196"/>
      <c r="S68" s="196"/>
      <c r="T68" s="196"/>
      <c r="U68" s="196"/>
      <c r="V68" s="196">
        <v>144024</v>
      </c>
      <c r="W68" s="196">
        <f>+SUM(Table_Query_from_MS_Access_Database_1[[#This Row],[CMAQ]:[TA OVER 200K]])</f>
        <v>144024</v>
      </c>
      <c r="X68" s="53">
        <f>X67-Table_Query_from_MS_Access_Database_1[TOTAL OF AMOUNT]</f>
        <v>95220619.169999972</v>
      </c>
    </row>
    <row r="69" spans="1:24" x14ac:dyDescent="0.3">
      <c r="A69" s="208" t="s">
        <v>517</v>
      </c>
      <c r="B69" s="208" t="s">
        <v>424</v>
      </c>
      <c r="C69" s="209" t="s">
        <v>52</v>
      </c>
      <c r="D69" s="208" t="s">
        <v>7</v>
      </c>
      <c r="E69" s="208" t="s">
        <v>356</v>
      </c>
      <c r="F69" s="209" t="s">
        <v>52</v>
      </c>
      <c r="G69" s="209" t="s">
        <v>518</v>
      </c>
      <c r="H69" s="209" t="s">
        <v>351</v>
      </c>
      <c r="I69" s="209" t="str">
        <f>+CONCATENATE(Table_Query_from_MS_Access_Database_1[[#This Row],[RTE]],Table_Query_from_MS_Access_Database_1[[#This Row],[SEC]],Table_Query_from_MS_Access_Database_1[[#This Row],[SEQ]])</f>
        <v>MAGT017</v>
      </c>
      <c r="J69" s="210"/>
      <c r="K69" s="210">
        <v>42796</v>
      </c>
      <c r="L69" s="210">
        <v>42817</v>
      </c>
      <c r="M69" s="210">
        <v>42829</v>
      </c>
      <c r="N69" s="211"/>
      <c r="O69" s="211"/>
      <c r="P69" s="211"/>
      <c r="Q69" s="211"/>
      <c r="R69" s="211"/>
      <c r="S69" s="211"/>
      <c r="T69" s="211">
        <v>5658000</v>
      </c>
      <c r="U69" s="211"/>
      <c r="V69" s="211"/>
      <c r="W69" s="211">
        <f>+SUM(Table_Query_from_MS_Access_Database_1[[#This Row],[CMAQ]:[TA OVER 200K]])</f>
        <v>5658000</v>
      </c>
      <c r="X69" s="53">
        <f>X68-Table_Query_from_MS_Access_Database_1[TOTAL OF AMOUNT]</f>
        <v>89562619.169999972</v>
      </c>
    </row>
    <row r="70" spans="1:24" ht="26.4" x14ac:dyDescent="0.3">
      <c r="A70" s="193" t="s">
        <v>519</v>
      </c>
      <c r="B70" s="193" t="s">
        <v>612</v>
      </c>
      <c r="C70" s="194" t="s">
        <v>134</v>
      </c>
      <c r="D70" s="193" t="s">
        <v>8</v>
      </c>
      <c r="E70" s="193" t="s">
        <v>482</v>
      </c>
      <c r="F70" s="194" t="s">
        <v>135</v>
      </c>
      <c r="G70" s="194" t="s">
        <v>106</v>
      </c>
      <c r="H70" s="194" t="s">
        <v>197</v>
      </c>
      <c r="I70" s="194" t="str">
        <f>+CONCATENATE(Table_Query_from_MS_Access_Database_1[[#This Row],[RTE]],Table_Query_from_MS_Access_Database_1[[#This Row],[SEC]],Table_Query_from_MS_Access_Database_1[[#This Row],[SEQ]])</f>
        <v>CHN0239</v>
      </c>
      <c r="J70" s="195">
        <v>42826</v>
      </c>
      <c r="K70" s="195">
        <v>42803</v>
      </c>
      <c r="L70" s="195">
        <v>42823</v>
      </c>
      <c r="M70" s="195">
        <v>42835</v>
      </c>
      <c r="N70" s="196">
        <v>70000</v>
      </c>
      <c r="O70" s="196"/>
      <c r="P70" s="196"/>
      <c r="Q70" s="196"/>
      <c r="R70" s="196"/>
      <c r="S70" s="196"/>
      <c r="T70" s="196"/>
      <c r="U70" s="196"/>
      <c r="V70" s="196"/>
      <c r="W70" s="196">
        <f>+SUM(Table_Query_from_MS_Access_Database_1[[#This Row],[CMAQ]:[TA OVER 200K]])</f>
        <v>70000</v>
      </c>
      <c r="X70" s="53">
        <f>X69-Table_Query_from_MS_Access_Database_1[TOTAL OF AMOUNT]</f>
        <v>89492619.169999972</v>
      </c>
    </row>
    <row r="71" spans="1:24" x14ac:dyDescent="0.3">
      <c r="A71" s="208" t="s">
        <v>534</v>
      </c>
      <c r="B71" s="208" t="s">
        <v>535</v>
      </c>
      <c r="C71" s="209" t="s">
        <v>188</v>
      </c>
      <c r="D71" s="208" t="s">
        <v>9</v>
      </c>
      <c r="E71" s="208" t="s">
        <v>536</v>
      </c>
      <c r="F71" s="209" t="s">
        <v>189</v>
      </c>
      <c r="G71" s="209" t="s">
        <v>106</v>
      </c>
      <c r="H71" s="209" t="s">
        <v>386</v>
      </c>
      <c r="I71" s="209" t="str">
        <f>+CONCATENATE(Table_Query_from_MS_Access_Database_1[[#This Row],[RTE]],Table_Query_from_MS_Access_Database_1[[#This Row],[SEC]],Table_Query_from_MS_Access_Database_1[[#This Row],[SEQ]])</f>
        <v>GDY0209</v>
      </c>
      <c r="J71" s="210"/>
      <c r="K71" s="210">
        <v>42832</v>
      </c>
      <c r="L71" s="210">
        <v>42832</v>
      </c>
      <c r="M71" s="210">
        <v>42835</v>
      </c>
      <c r="N71" s="211">
        <v>-44447.53</v>
      </c>
      <c r="O71" s="211"/>
      <c r="P71" s="211"/>
      <c r="Q71" s="211"/>
      <c r="R71" s="211"/>
      <c r="S71" s="211"/>
      <c r="T71" s="211"/>
      <c r="U71" s="211"/>
      <c r="V71" s="211"/>
      <c r="W71" s="211">
        <f>+SUM(Table_Query_from_MS_Access_Database_1[[#This Row],[CMAQ]:[TA OVER 200K]])</f>
        <v>-44447.53</v>
      </c>
      <c r="X71" s="53">
        <f>X70-Table_Query_from_MS_Access_Database_1[TOTAL OF AMOUNT]</f>
        <v>89537066.699999973</v>
      </c>
    </row>
    <row r="72" spans="1:24" x14ac:dyDescent="0.3">
      <c r="A72" s="205" t="s">
        <v>539</v>
      </c>
      <c r="B72" s="205" t="s">
        <v>540</v>
      </c>
      <c r="C72" s="206" t="s">
        <v>195</v>
      </c>
      <c r="D72" s="205" t="s">
        <v>9</v>
      </c>
      <c r="E72" s="205" t="s">
        <v>541</v>
      </c>
      <c r="F72" s="206" t="s">
        <v>196</v>
      </c>
      <c r="G72" s="206" t="s">
        <v>106</v>
      </c>
      <c r="H72" s="206" t="s">
        <v>498</v>
      </c>
      <c r="I72" s="206" t="str">
        <f>+CONCATENATE(Table_Query_from_MS_Access_Database_1[[#This Row],[RTE]],Table_Query_from_MS_Access_Database_1[[#This Row],[SEC]],Table_Query_from_MS_Access_Database_1[[#This Row],[SEQ]])</f>
        <v>GLN0237</v>
      </c>
      <c r="J72" s="203"/>
      <c r="K72" s="203">
        <v>42828</v>
      </c>
      <c r="L72" s="203">
        <v>42828</v>
      </c>
      <c r="M72" s="203">
        <v>42837</v>
      </c>
      <c r="N72" s="204"/>
      <c r="O72" s="204"/>
      <c r="P72" s="204">
        <v>-4305.68</v>
      </c>
      <c r="Q72" s="204"/>
      <c r="R72" s="204"/>
      <c r="S72" s="204"/>
      <c r="T72" s="204"/>
      <c r="U72" s="204"/>
      <c r="V72" s="204"/>
      <c r="W72" s="204">
        <f>+SUM(Table_Query_from_MS_Access_Database_1[[#This Row],[CMAQ]:[TA OVER 200K]])</f>
        <v>-4305.68</v>
      </c>
      <c r="X72" s="53">
        <f>X71-Table_Query_from_MS_Access_Database_1[TOTAL OF AMOUNT]</f>
        <v>89541372.37999998</v>
      </c>
    </row>
    <row r="73" spans="1:24" x14ac:dyDescent="0.3">
      <c r="A73" s="205" t="s">
        <v>537</v>
      </c>
      <c r="B73" s="205"/>
      <c r="C73" s="206" t="s">
        <v>195</v>
      </c>
      <c r="D73" s="205" t="s">
        <v>9</v>
      </c>
      <c r="E73" s="205" t="s">
        <v>538</v>
      </c>
      <c r="F73" s="206" t="s">
        <v>196</v>
      </c>
      <c r="G73" s="206" t="s">
        <v>106</v>
      </c>
      <c r="H73" s="206" t="s">
        <v>498</v>
      </c>
      <c r="I73" s="206" t="str">
        <f>+CONCATENATE(Table_Query_from_MS_Access_Database_1[[#This Row],[RTE]],Table_Query_from_MS_Access_Database_1[[#This Row],[SEC]],Table_Query_from_MS_Access_Database_1[[#This Row],[SEQ]])</f>
        <v>GLN0237</v>
      </c>
      <c r="J73" s="203"/>
      <c r="K73" s="203">
        <v>42828</v>
      </c>
      <c r="L73" s="203">
        <v>42828</v>
      </c>
      <c r="M73" s="203">
        <v>42837</v>
      </c>
      <c r="N73" s="204"/>
      <c r="O73" s="204"/>
      <c r="P73" s="204">
        <v>-8096.44</v>
      </c>
      <c r="Q73" s="204"/>
      <c r="R73" s="204"/>
      <c r="S73" s="204"/>
      <c r="T73" s="204"/>
      <c r="U73" s="204"/>
      <c r="V73" s="204"/>
      <c r="W73" s="204">
        <f>+SUM(Table_Query_from_MS_Access_Database_1[[#This Row],[CMAQ]:[TA OVER 200K]])</f>
        <v>-8096.44</v>
      </c>
      <c r="X73" s="53">
        <f>X72-Table_Query_from_MS_Access_Database_1[TOTAL OF AMOUNT]</f>
        <v>89549468.819999978</v>
      </c>
    </row>
    <row r="74" spans="1:24" ht="26.4" x14ac:dyDescent="0.3">
      <c r="A74" s="208" t="s">
        <v>542</v>
      </c>
      <c r="B74" s="208" t="s">
        <v>543</v>
      </c>
      <c r="C74" s="209" t="s">
        <v>188</v>
      </c>
      <c r="D74" s="208" t="s">
        <v>9</v>
      </c>
      <c r="E74" s="208" t="s">
        <v>544</v>
      </c>
      <c r="F74" s="209" t="s">
        <v>189</v>
      </c>
      <c r="G74" s="209" t="s">
        <v>106</v>
      </c>
      <c r="H74" s="209" t="s">
        <v>545</v>
      </c>
      <c r="I74" s="209" t="str">
        <f>+CONCATENATE(Table_Query_from_MS_Access_Database_1[[#This Row],[RTE]],Table_Query_from_MS_Access_Database_1[[#This Row],[SEC]],Table_Query_from_MS_Access_Database_1[[#This Row],[SEQ]])</f>
        <v>GDY0206</v>
      </c>
      <c r="J74" s="210"/>
      <c r="K74" s="210">
        <v>42832</v>
      </c>
      <c r="L74" s="210">
        <v>42832</v>
      </c>
      <c r="M74" s="210">
        <v>42839</v>
      </c>
      <c r="N74" s="211">
        <v>-15970.95</v>
      </c>
      <c r="O74" s="211"/>
      <c r="P74" s="211"/>
      <c r="Q74" s="211"/>
      <c r="R74" s="211"/>
      <c r="S74" s="211"/>
      <c r="T74" s="211"/>
      <c r="U74" s="211"/>
      <c r="V74" s="211"/>
      <c r="W74" s="211">
        <f>+SUM(Table_Query_from_MS_Access_Database_1[[#This Row],[CMAQ]:[TA OVER 200K]])</f>
        <v>-15970.95</v>
      </c>
      <c r="X74" s="53">
        <f>X73-Table_Query_from_MS_Access_Database_1[TOTAL OF AMOUNT]</f>
        <v>89565439.769999981</v>
      </c>
    </row>
    <row r="75" spans="1:24" ht="26.4" x14ac:dyDescent="0.3">
      <c r="A75" s="208" t="s">
        <v>546</v>
      </c>
      <c r="B75" s="208" t="s">
        <v>547</v>
      </c>
      <c r="C75" s="209" t="s">
        <v>188</v>
      </c>
      <c r="D75" s="208" t="s">
        <v>9</v>
      </c>
      <c r="E75" s="208" t="s">
        <v>548</v>
      </c>
      <c r="F75" s="209" t="s">
        <v>189</v>
      </c>
      <c r="G75" s="209" t="s">
        <v>106</v>
      </c>
      <c r="H75" s="209" t="s">
        <v>516</v>
      </c>
      <c r="I75" s="209" t="str">
        <f>+CONCATENATE(Table_Query_from_MS_Access_Database_1[[#This Row],[RTE]],Table_Query_from_MS_Access_Database_1[[#This Row],[SEC]],Table_Query_from_MS_Access_Database_1[[#This Row],[SEQ]])</f>
        <v>GDY0205</v>
      </c>
      <c r="J75" s="210"/>
      <c r="K75" s="210">
        <v>42832</v>
      </c>
      <c r="L75" s="210">
        <v>42832</v>
      </c>
      <c r="M75" s="210">
        <v>42843</v>
      </c>
      <c r="N75" s="211">
        <v>-45286.22</v>
      </c>
      <c r="O75" s="211"/>
      <c r="P75" s="211"/>
      <c r="Q75" s="211"/>
      <c r="R75" s="211"/>
      <c r="S75" s="211"/>
      <c r="T75" s="211"/>
      <c r="U75" s="211"/>
      <c r="V75" s="211"/>
      <c r="W75" s="211">
        <f>+SUM(Table_Query_from_MS_Access_Database_1[[#This Row],[CMAQ]:[TA OVER 200K]])</f>
        <v>-45286.22</v>
      </c>
      <c r="X75" s="53">
        <f>X74-Table_Query_from_MS_Access_Database_1[TOTAL OF AMOUNT]</f>
        <v>89610725.98999998</v>
      </c>
    </row>
    <row r="76" spans="1:24" x14ac:dyDescent="0.3">
      <c r="A76" s="208" t="s">
        <v>517</v>
      </c>
      <c r="B76" s="208" t="s">
        <v>424</v>
      </c>
      <c r="C76" s="209" t="s">
        <v>52</v>
      </c>
      <c r="D76" s="208" t="s">
        <v>8</v>
      </c>
      <c r="E76" s="208" t="s">
        <v>356</v>
      </c>
      <c r="F76" s="209" t="s">
        <v>52</v>
      </c>
      <c r="G76" s="209" t="s">
        <v>518</v>
      </c>
      <c r="H76" s="209" t="s">
        <v>351</v>
      </c>
      <c r="I76" s="209" t="str">
        <f>+CONCATENATE(Table_Query_from_MS_Access_Database_1[[#This Row],[RTE]],Table_Query_from_MS_Access_Database_1[[#This Row],[SEC]],Table_Query_from_MS_Access_Database_1[[#This Row],[SEQ]])</f>
        <v>MAGT017</v>
      </c>
      <c r="J76" s="210"/>
      <c r="K76" s="210">
        <v>42831</v>
      </c>
      <c r="L76" s="210">
        <v>42836</v>
      </c>
      <c r="M76" s="210">
        <v>42846</v>
      </c>
      <c r="N76" s="211"/>
      <c r="O76" s="211"/>
      <c r="P76" s="211"/>
      <c r="Q76" s="211"/>
      <c r="R76" s="211"/>
      <c r="S76" s="211"/>
      <c r="T76" s="211">
        <v>342000</v>
      </c>
      <c r="U76" s="211"/>
      <c r="V76" s="211"/>
      <c r="W76" s="211">
        <f>+SUM(Table_Query_from_MS_Access_Database_1[[#This Row],[CMAQ]:[TA OVER 200K]])</f>
        <v>342000</v>
      </c>
      <c r="X76" s="53">
        <f>X75-Table_Query_from_MS_Access_Database_1[TOTAL OF AMOUNT]</f>
        <v>89268725.98999998</v>
      </c>
    </row>
    <row r="77" spans="1:24" ht="26.4" x14ac:dyDescent="0.3">
      <c r="A77" s="205" t="s">
        <v>556</v>
      </c>
      <c r="B77" s="205" t="s">
        <v>557</v>
      </c>
      <c r="C77" s="206" t="s">
        <v>558</v>
      </c>
      <c r="D77" s="205" t="s">
        <v>9</v>
      </c>
      <c r="E77" s="205" t="s">
        <v>559</v>
      </c>
      <c r="F77" s="206" t="s">
        <v>560</v>
      </c>
      <c r="G77" s="206" t="s">
        <v>106</v>
      </c>
      <c r="H77" s="206" t="s">
        <v>139</v>
      </c>
      <c r="I77" s="206" t="str">
        <f>+CONCATENATE(Table_Query_from_MS_Access_Database_1[[#This Row],[RTE]],Table_Query_from_MS_Access_Database_1[[#This Row],[SEC]],Table_Query_from_MS_Access_Database_1[[#This Row],[SEQ]])</f>
        <v>GIL0212</v>
      </c>
      <c r="J77" s="203"/>
      <c r="K77" s="203">
        <v>42849</v>
      </c>
      <c r="L77" s="203">
        <v>42849</v>
      </c>
      <c r="M77" s="203">
        <v>42851</v>
      </c>
      <c r="N77" s="204">
        <v>-7355.33</v>
      </c>
      <c r="O77" s="204"/>
      <c r="P77" s="204"/>
      <c r="Q77" s="204"/>
      <c r="R77" s="204"/>
      <c r="S77" s="204"/>
      <c r="T77" s="204"/>
      <c r="U77" s="204"/>
      <c r="V77" s="204"/>
      <c r="W77" s="204">
        <f>+SUM(Table_Query_from_MS_Access_Database_1[[#This Row],[CMAQ]:[TA OVER 200K]])</f>
        <v>-7355.33</v>
      </c>
      <c r="X77" s="53">
        <f>X76-Table_Query_from_MS_Access_Database_1[TOTAL OF AMOUNT]</f>
        <v>89276081.319999978</v>
      </c>
    </row>
    <row r="78" spans="1:24" ht="26.4" x14ac:dyDescent="0.3">
      <c r="A78" s="205" t="s">
        <v>561</v>
      </c>
      <c r="B78" s="205"/>
      <c r="C78" s="206" t="s">
        <v>558</v>
      </c>
      <c r="D78" s="205" t="s">
        <v>9</v>
      </c>
      <c r="E78" s="205" t="s">
        <v>562</v>
      </c>
      <c r="F78" s="206" t="s">
        <v>560</v>
      </c>
      <c r="G78" s="206" t="s">
        <v>106</v>
      </c>
      <c r="H78" s="206" t="s">
        <v>139</v>
      </c>
      <c r="I78" s="206" t="str">
        <f>+CONCATENATE(Table_Query_from_MS_Access_Database_1[[#This Row],[RTE]],Table_Query_from_MS_Access_Database_1[[#This Row],[SEC]],Table_Query_from_MS_Access_Database_1[[#This Row],[SEQ]])</f>
        <v>GIL0212</v>
      </c>
      <c r="J78" s="203"/>
      <c r="K78" s="203">
        <v>42849</v>
      </c>
      <c r="L78" s="203">
        <v>42849</v>
      </c>
      <c r="M78" s="203">
        <v>42851</v>
      </c>
      <c r="N78" s="204">
        <v>-44728.24</v>
      </c>
      <c r="O78" s="204"/>
      <c r="P78" s="204"/>
      <c r="Q78" s="204"/>
      <c r="R78" s="204"/>
      <c r="S78" s="204"/>
      <c r="T78" s="204"/>
      <c r="U78" s="204"/>
      <c r="V78" s="204"/>
      <c r="W78" s="204">
        <f>+SUM(Table_Query_from_MS_Access_Database_1[[#This Row],[CMAQ]:[TA OVER 200K]])</f>
        <v>-44728.24</v>
      </c>
      <c r="X78" s="53">
        <f>X77-Table_Query_from_MS_Access_Database_1[TOTAL OF AMOUNT]</f>
        <v>89320809.559999973</v>
      </c>
    </row>
    <row r="79" spans="1:24" ht="26.4" x14ac:dyDescent="0.3">
      <c r="A79" s="208" t="s">
        <v>530</v>
      </c>
      <c r="B79" s="208" t="s">
        <v>340</v>
      </c>
      <c r="C79" s="209" t="s">
        <v>140</v>
      </c>
      <c r="D79" s="208" t="s">
        <v>7</v>
      </c>
      <c r="E79" s="208" t="s">
        <v>341</v>
      </c>
      <c r="F79" s="209" t="s">
        <v>136</v>
      </c>
      <c r="G79" s="209" t="s">
        <v>106</v>
      </c>
      <c r="H79" s="209" t="s">
        <v>531</v>
      </c>
      <c r="I79" s="209" t="str">
        <f>+CONCATENATE(Table_Query_from_MS_Access_Database_1[[#This Row],[RTE]],Table_Query_from_MS_Access_Database_1[[#This Row],[SEC]],Table_Query_from_MS_Access_Database_1[[#This Row],[SEQ]])</f>
        <v>MMA0272</v>
      </c>
      <c r="J79" s="210">
        <v>42736</v>
      </c>
      <c r="K79" s="210">
        <v>42835</v>
      </c>
      <c r="L79" s="210">
        <v>42843</v>
      </c>
      <c r="M79" s="210">
        <v>42851</v>
      </c>
      <c r="N79" s="211"/>
      <c r="O79" s="211"/>
      <c r="P79" s="211"/>
      <c r="Q79" s="211"/>
      <c r="R79" s="211"/>
      <c r="S79" s="211"/>
      <c r="T79" s="211"/>
      <c r="U79" s="211"/>
      <c r="V79" s="211">
        <v>47146</v>
      </c>
      <c r="W79" s="211">
        <f>+SUM(Table_Query_from_MS_Access_Database_1[[#This Row],[CMAQ]:[TA OVER 200K]])</f>
        <v>47146</v>
      </c>
      <c r="X79" s="53">
        <f>X78-Table_Query_from_MS_Access_Database_1[TOTAL OF AMOUNT]</f>
        <v>89273663.559999973</v>
      </c>
    </row>
    <row r="80" spans="1:24" x14ac:dyDescent="0.3">
      <c r="A80" s="208" t="s">
        <v>244</v>
      </c>
      <c r="B80" s="208" t="s">
        <v>245</v>
      </c>
      <c r="C80" s="209" t="s">
        <v>246</v>
      </c>
      <c r="D80" s="208" t="s">
        <v>7</v>
      </c>
      <c r="E80" s="208" t="s">
        <v>426</v>
      </c>
      <c r="F80" s="209" t="s">
        <v>247</v>
      </c>
      <c r="G80" s="209" t="s">
        <v>106</v>
      </c>
      <c r="H80" s="209" t="s">
        <v>223</v>
      </c>
      <c r="I80" s="209" t="str">
        <f>+CONCATENATE(Table_Query_from_MS_Access_Database_1[[#This Row],[RTE]],Table_Query_from_MS_Access_Database_1[[#This Row],[SEC]],Table_Query_from_MS_Access_Database_1[[#This Row],[SEQ]])</f>
        <v>LPK0204</v>
      </c>
      <c r="J80" s="210">
        <v>42870</v>
      </c>
      <c r="K80" s="210">
        <v>42843</v>
      </c>
      <c r="L80" s="210">
        <v>42852</v>
      </c>
      <c r="M80" s="210">
        <v>42853</v>
      </c>
      <c r="N80" s="211">
        <v>313725</v>
      </c>
      <c r="O80" s="211"/>
      <c r="P80" s="211"/>
      <c r="Q80" s="211"/>
      <c r="R80" s="211"/>
      <c r="S80" s="211"/>
      <c r="T80" s="211"/>
      <c r="U80" s="211"/>
      <c r="V80" s="211"/>
      <c r="W80" s="211">
        <f>+SUM(Table_Query_from_MS_Access_Database_1[[#This Row],[CMAQ]:[TA OVER 200K]])</f>
        <v>313725</v>
      </c>
      <c r="X80" s="53">
        <f>X79-Table_Query_from_MS_Access_Database_1[TOTAL OF AMOUNT]</f>
        <v>88959938.559999973</v>
      </c>
    </row>
    <row r="81" spans="1:24" x14ac:dyDescent="0.3">
      <c r="A81" s="208" t="s">
        <v>404</v>
      </c>
      <c r="B81" s="208" t="s">
        <v>425</v>
      </c>
      <c r="C81" s="209" t="s">
        <v>173</v>
      </c>
      <c r="D81" s="208" t="s">
        <v>7</v>
      </c>
      <c r="E81" s="208" t="s">
        <v>405</v>
      </c>
      <c r="F81" s="209" t="s">
        <v>174</v>
      </c>
      <c r="G81" s="209" t="s">
        <v>106</v>
      </c>
      <c r="H81" s="209" t="s">
        <v>406</v>
      </c>
      <c r="I81" s="209" t="str">
        <f>+CONCATENATE(Table_Query_from_MS_Access_Database_1[[#This Row],[RTE]],Table_Query_from_MS_Access_Database_1[[#This Row],[SEC]],Table_Query_from_MS_Access_Database_1[[#This Row],[SEQ]])</f>
        <v>PE00216</v>
      </c>
      <c r="J81" s="210">
        <v>42860</v>
      </c>
      <c r="K81" s="210">
        <v>42851</v>
      </c>
      <c r="L81" s="210">
        <v>42857</v>
      </c>
      <c r="M81" s="210">
        <v>42865</v>
      </c>
      <c r="N81" s="211"/>
      <c r="O81" s="211"/>
      <c r="P81" s="211"/>
      <c r="Q81" s="211"/>
      <c r="R81" s="211"/>
      <c r="S81" s="211"/>
      <c r="T81" s="211">
        <v>562215</v>
      </c>
      <c r="U81" s="211"/>
      <c r="V81" s="211"/>
      <c r="W81" s="211">
        <f>+SUM(Table_Query_from_MS_Access_Database_1[[#This Row],[CMAQ]:[TA OVER 200K]])</f>
        <v>562215</v>
      </c>
      <c r="X81" s="53">
        <f>X80-Table_Query_from_MS_Access_Database_1[TOTAL OF AMOUNT]</f>
        <v>88397723.559999973</v>
      </c>
    </row>
    <row r="82" spans="1:24" ht="52.8" x14ac:dyDescent="0.3">
      <c r="A82" s="208" t="s">
        <v>402</v>
      </c>
      <c r="B82" s="208" t="s">
        <v>571</v>
      </c>
      <c r="C82" s="209" t="s">
        <v>173</v>
      </c>
      <c r="D82" s="208" t="s">
        <v>7</v>
      </c>
      <c r="E82" s="208" t="s">
        <v>403</v>
      </c>
      <c r="F82" s="209" t="s">
        <v>174</v>
      </c>
      <c r="G82" s="209" t="s">
        <v>106</v>
      </c>
      <c r="H82" s="209" t="s">
        <v>187</v>
      </c>
      <c r="I82" s="209" t="str">
        <f>+CONCATENATE(Table_Query_from_MS_Access_Database_1[[#This Row],[RTE]],Table_Query_from_MS_Access_Database_1[[#This Row],[SEC]],Table_Query_from_MS_Access_Database_1[[#This Row],[SEQ]])</f>
        <v>PE00215</v>
      </c>
      <c r="J82" s="210">
        <v>42860</v>
      </c>
      <c r="K82" s="210">
        <v>42850</v>
      </c>
      <c r="L82" s="210">
        <v>42857</v>
      </c>
      <c r="M82" s="210">
        <v>42865</v>
      </c>
      <c r="N82" s="211"/>
      <c r="O82" s="211"/>
      <c r="P82" s="211"/>
      <c r="Q82" s="211"/>
      <c r="R82" s="211"/>
      <c r="S82" s="211"/>
      <c r="T82" s="211">
        <v>1014285</v>
      </c>
      <c r="U82" s="211"/>
      <c r="V82" s="211"/>
      <c r="W82" s="211">
        <f>+SUM(Table_Query_from_MS_Access_Database_1[[#This Row],[CMAQ]:[TA OVER 200K]])</f>
        <v>1014285</v>
      </c>
      <c r="X82" s="53">
        <f>X81-Table_Query_from_MS_Access_Database_1[TOTAL OF AMOUNT]</f>
        <v>87383438.559999973</v>
      </c>
    </row>
    <row r="83" spans="1:24" ht="26.4" x14ac:dyDescent="0.3">
      <c r="A83" s="205" t="s">
        <v>412</v>
      </c>
      <c r="B83" s="205" t="s">
        <v>221</v>
      </c>
      <c r="C83" s="206" t="s">
        <v>107</v>
      </c>
      <c r="D83" s="205" t="s">
        <v>7</v>
      </c>
      <c r="E83" s="205" t="s">
        <v>200</v>
      </c>
      <c r="F83" s="206" t="s">
        <v>108</v>
      </c>
      <c r="G83" s="206" t="s">
        <v>106</v>
      </c>
      <c r="H83" s="206" t="s">
        <v>613</v>
      </c>
      <c r="I83" s="206" t="str">
        <f>+CONCATENATE(Table_Query_from_MS_Access_Database_1[[#This Row],[RTE]],Table_Query_from_MS_Access_Database_1[[#This Row],[SEC]],Table_Query_from_MS_Access_Database_1[[#This Row],[SEQ]])</f>
        <v>PHX0342</v>
      </c>
      <c r="J83" s="203">
        <v>42856</v>
      </c>
      <c r="K83" s="203">
        <v>42853</v>
      </c>
      <c r="L83" s="203">
        <v>42864</v>
      </c>
      <c r="M83" s="203">
        <v>42871</v>
      </c>
      <c r="N83" s="204"/>
      <c r="O83" s="204"/>
      <c r="P83" s="204"/>
      <c r="Q83" s="204"/>
      <c r="R83" s="204"/>
      <c r="S83" s="204"/>
      <c r="T83" s="204"/>
      <c r="U83" s="204"/>
      <c r="V83" s="204">
        <v>47150</v>
      </c>
      <c r="W83" s="204">
        <f>+SUM(Table_Query_from_MS_Access_Database_1[[#This Row],[CMAQ]:[TA OVER 200K]])</f>
        <v>47150</v>
      </c>
      <c r="X83" s="53">
        <f>X82-Table_Query_from_MS_Access_Database_1[TOTAL OF AMOUNT]</f>
        <v>87336288.559999973</v>
      </c>
    </row>
    <row r="84" spans="1:24" x14ac:dyDescent="0.3">
      <c r="A84" s="205" t="s">
        <v>586</v>
      </c>
      <c r="B84" s="205" t="s">
        <v>587</v>
      </c>
      <c r="C84" s="206" t="s">
        <v>52</v>
      </c>
      <c r="D84" s="205" t="s">
        <v>7</v>
      </c>
      <c r="E84" s="205" t="s">
        <v>356</v>
      </c>
      <c r="F84" s="206" t="s">
        <v>52</v>
      </c>
      <c r="G84" s="206" t="s">
        <v>588</v>
      </c>
      <c r="H84" s="206" t="s">
        <v>351</v>
      </c>
      <c r="I84" s="206" t="str">
        <f>+CONCATENATE(Table_Query_from_MS_Access_Database_1[[#This Row],[RTE]],Table_Query_from_MS_Access_Database_1[[#This Row],[SEC]],Table_Query_from_MS_Access_Database_1[[#This Row],[SEQ]])</f>
        <v>MAGQ017</v>
      </c>
      <c r="J84" s="203"/>
      <c r="K84" s="203">
        <v>42851</v>
      </c>
      <c r="L84" s="203">
        <v>42864</v>
      </c>
      <c r="M84" s="203">
        <v>42871</v>
      </c>
      <c r="N84" s="204">
        <v>1983898</v>
      </c>
      <c r="O84" s="204"/>
      <c r="P84" s="204"/>
      <c r="Q84" s="204"/>
      <c r="R84" s="204"/>
      <c r="S84" s="204"/>
      <c r="T84" s="204"/>
      <c r="U84" s="204"/>
      <c r="V84" s="204"/>
      <c r="W84" s="204">
        <f>+SUM(Table_Query_from_MS_Access_Database_1[[#This Row],[CMAQ]:[TA OVER 200K]])</f>
        <v>1983898</v>
      </c>
      <c r="X84" s="53">
        <f>X83-Table_Query_from_MS_Access_Database_1[TOTAL OF AMOUNT]</f>
        <v>85352390.559999973</v>
      </c>
    </row>
    <row r="85" spans="1:24" x14ac:dyDescent="0.3">
      <c r="A85" s="208" t="s">
        <v>418</v>
      </c>
      <c r="B85" s="208" t="s">
        <v>326</v>
      </c>
      <c r="C85" s="209" t="s">
        <v>107</v>
      </c>
      <c r="D85" s="208" t="s">
        <v>7</v>
      </c>
      <c r="E85" s="208" t="s">
        <v>327</v>
      </c>
      <c r="F85" s="209" t="s">
        <v>108</v>
      </c>
      <c r="G85" s="209" t="s">
        <v>106</v>
      </c>
      <c r="H85" s="209" t="s">
        <v>184</v>
      </c>
      <c r="I85" s="209" t="str">
        <f>+CONCATENATE(Table_Query_from_MS_Access_Database_1[[#This Row],[RTE]],Table_Query_from_MS_Access_Database_1[[#This Row],[SEC]],Table_Query_from_MS_Access_Database_1[[#This Row],[SEQ]])</f>
        <v>PHX0TBD</v>
      </c>
      <c r="J85" s="210">
        <v>42856</v>
      </c>
      <c r="K85" s="210">
        <v>42853</v>
      </c>
      <c r="L85" s="210">
        <v>42864</v>
      </c>
      <c r="M85" s="210">
        <v>42871</v>
      </c>
      <c r="N85" s="211"/>
      <c r="O85" s="211"/>
      <c r="P85" s="211"/>
      <c r="Q85" s="211"/>
      <c r="R85" s="211"/>
      <c r="S85" s="211"/>
      <c r="T85" s="211"/>
      <c r="U85" s="211"/>
      <c r="V85" s="211">
        <v>19332</v>
      </c>
      <c r="W85" s="211">
        <f>+SUM(Table_Query_from_MS_Access_Database_1[[#This Row],[CMAQ]:[TA OVER 200K]])</f>
        <v>19332</v>
      </c>
      <c r="X85" s="53">
        <f>X84-Table_Query_from_MS_Access_Database_1[TOTAL OF AMOUNT]</f>
        <v>85333058.559999973</v>
      </c>
    </row>
    <row r="86" spans="1:24" ht="26.4" x14ac:dyDescent="0.3">
      <c r="A86" s="208" t="s">
        <v>583</v>
      </c>
      <c r="B86" s="208" t="s">
        <v>584</v>
      </c>
      <c r="C86" s="209" t="s">
        <v>140</v>
      </c>
      <c r="D86" s="208" t="s">
        <v>9</v>
      </c>
      <c r="E86" s="208" t="s">
        <v>585</v>
      </c>
      <c r="F86" s="209" t="s">
        <v>136</v>
      </c>
      <c r="G86" s="209" t="s">
        <v>106</v>
      </c>
      <c r="H86" s="209" t="s">
        <v>185</v>
      </c>
      <c r="I86" s="209" t="str">
        <f>+CONCATENATE(Table_Query_from_MS_Access_Database_1[[#This Row],[RTE]],Table_Query_from_MS_Access_Database_1[[#This Row],[SEC]],Table_Query_from_MS_Access_Database_1[[#This Row],[SEQ]])</f>
        <v>MMA0244</v>
      </c>
      <c r="J86" s="210"/>
      <c r="K86" s="210">
        <v>42865</v>
      </c>
      <c r="L86" s="210">
        <v>42865</v>
      </c>
      <c r="M86" s="210">
        <v>42871</v>
      </c>
      <c r="N86" s="211">
        <v>-220000</v>
      </c>
      <c r="O86" s="211"/>
      <c r="P86" s="211"/>
      <c r="Q86" s="211"/>
      <c r="R86" s="211"/>
      <c r="S86" s="211"/>
      <c r="T86" s="211"/>
      <c r="U86" s="211"/>
      <c r="V86" s="211"/>
      <c r="W86" s="211">
        <f>+SUM(Table_Query_from_MS_Access_Database_1[[#This Row],[CMAQ]:[TA OVER 200K]])</f>
        <v>-220000</v>
      </c>
      <c r="X86" s="53">
        <f>X85-Table_Query_from_MS_Access_Database_1[TOTAL OF AMOUNT]</f>
        <v>85553058.559999973</v>
      </c>
    </row>
    <row r="87" spans="1:24" ht="26.4" x14ac:dyDescent="0.3">
      <c r="A87" s="208" t="s">
        <v>581</v>
      </c>
      <c r="B87" s="208"/>
      <c r="C87" s="209" t="s">
        <v>195</v>
      </c>
      <c r="D87" s="208" t="s">
        <v>9</v>
      </c>
      <c r="E87" s="208" t="s">
        <v>582</v>
      </c>
      <c r="F87" s="209" t="s">
        <v>196</v>
      </c>
      <c r="G87" s="209" t="s">
        <v>106</v>
      </c>
      <c r="H87" s="209" t="s">
        <v>194</v>
      </c>
      <c r="I87" s="209" t="str">
        <f>+CONCATENATE(Table_Query_from_MS_Access_Database_1[[#This Row],[RTE]],Table_Query_from_MS_Access_Database_1[[#This Row],[SEC]],Table_Query_from_MS_Access_Database_1[[#This Row],[SEQ]])</f>
        <v>GLN0223</v>
      </c>
      <c r="J87" s="210"/>
      <c r="K87" s="210">
        <v>42867</v>
      </c>
      <c r="L87" s="210">
        <v>42867</v>
      </c>
      <c r="M87" s="210">
        <v>42871</v>
      </c>
      <c r="N87" s="211"/>
      <c r="O87" s="211"/>
      <c r="P87" s="211"/>
      <c r="Q87" s="211"/>
      <c r="R87" s="211"/>
      <c r="S87" s="211"/>
      <c r="T87" s="211">
        <v>-13106.76</v>
      </c>
      <c r="U87" s="211"/>
      <c r="V87" s="211"/>
      <c r="W87" s="211">
        <f>+SUM(Table_Query_from_MS_Access_Database_1[[#This Row],[CMAQ]:[TA OVER 200K]])</f>
        <v>-13106.76</v>
      </c>
      <c r="X87" s="53">
        <f>X86-Table_Query_from_MS_Access_Database_1[TOTAL OF AMOUNT]</f>
        <v>85566165.319999978</v>
      </c>
    </row>
    <row r="88" spans="1:24" x14ac:dyDescent="0.3">
      <c r="A88" s="208" t="s">
        <v>578</v>
      </c>
      <c r="B88" s="208" t="s">
        <v>579</v>
      </c>
      <c r="C88" s="209" t="s">
        <v>195</v>
      </c>
      <c r="D88" s="208" t="s">
        <v>9</v>
      </c>
      <c r="E88" s="208" t="s">
        <v>580</v>
      </c>
      <c r="F88" s="209" t="s">
        <v>196</v>
      </c>
      <c r="G88" s="209" t="s">
        <v>106</v>
      </c>
      <c r="H88" s="209" t="s">
        <v>194</v>
      </c>
      <c r="I88" s="209" t="str">
        <f>+CONCATENATE(Table_Query_from_MS_Access_Database_1[[#This Row],[RTE]],Table_Query_from_MS_Access_Database_1[[#This Row],[SEC]],Table_Query_from_MS_Access_Database_1[[#This Row],[SEQ]])</f>
        <v>GLN0223</v>
      </c>
      <c r="J88" s="210"/>
      <c r="K88" s="210">
        <v>42867</v>
      </c>
      <c r="L88" s="210">
        <v>42867</v>
      </c>
      <c r="M88" s="210">
        <v>42871</v>
      </c>
      <c r="N88" s="211">
        <v>-70537.960000000006</v>
      </c>
      <c r="O88" s="211"/>
      <c r="P88" s="211"/>
      <c r="Q88" s="211"/>
      <c r="R88" s="211"/>
      <c r="S88" s="211"/>
      <c r="T88" s="211"/>
      <c r="U88" s="211"/>
      <c r="V88" s="211"/>
      <c r="W88" s="211">
        <f>+SUM(Table_Query_from_MS_Access_Database_1[[#This Row],[CMAQ]:[TA OVER 200K]])</f>
        <v>-70537.960000000006</v>
      </c>
      <c r="X88" s="53">
        <f>X87-Table_Query_from_MS_Access_Database_1[TOTAL OF AMOUNT]</f>
        <v>85636703.279999971</v>
      </c>
    </row>
    <row r="89" spans="1:24" x14ac:dyDescent="0.3">
      <c r="A89" s="208" t="s">
        <v>417</v>
      </c>
      <c r="B89" s="208" t="s">
        <v>324</v>
      </c>
      <c r="C89" s="209" t="s">
        <v>107</v>
      </c>
      <c r="D89" s="208" t="s">
        <v>7</v>
      </c>
      <c r="E89" s="208" t="s">
        <v>325</v>
      </c>
      <c r="F89" s="209" t="s">
        <v>108</v>
      </c>
      <c r="G89" s="209" t="s">
        <v>106</v>
      </c>
      <c r="H89" s="209" t="s">
        <v>184</v>
      </c>
      <c r="I89" s="209" t="str">
        <f>+CONCATENATE(Table_Query_from_MS_Access_Database_1[[#This Row],[RTE]],Table_Query_from_MS_Access_Database_1[[#This Row],[SEC]],Table_Query_from_MS_Access_Database_1[[#This Row],[SEQ]])</f>
        <v>PHX0TBD</v>
      </c>
      <c r="J89" s="210">
        <v>42856</v>
      </c>
      <c r="K89" s="210">
        <v>42853</v>
      </c>
      <c r="L89" s="210">
        <v>42864</v>
      </c>
      <c r="M89" s="210">
        <v>42871</v>
      </c>
      <c r="N89" s="211"/>
      <c r="O89" s="211"/>
      <c r="P89" s="211"/>
      <c r="Q89" s="211"/>
      <c r="R89" s="211"/>
      <c r="S89" s="211"/>
      <c r="T89" s="211"/>
      <c r="U89" s="211"/>
      <c r="V89" s="211">
        <v>20229</v>
      </c>
      <c r="W89" s="211">
        <f>+SUM(Table_Query_from_MS_Access_Database_1[[#This Row],[CMAQ]:[TA OVER 200K]])</f>
        <v>20229</v>
      </c>
      <c r="X89" s="53">
        <f>X88-Table_Query_from_MS_Access_Database_1[TOTAL OF AMOUNT]</f>
        <v>85616474.279999971</v>
      </c>
    </row>
    <row r="90" spans="1:24" ht="26.4" x14ac:dyDescent="0.3">
      <c r="A90" s="208" t="s">
        <v>310</v>
      </c>
      <c r="B90" s="208" t="s">
        <v>311</v>
      </c>
      <c r="C90" s="209" t="s">
        <v>198</v>
      </c>
      <c r="D90" s="208" t="s">
        <v>7</v>
      </c>
      <c r="E90" s="208" t="s">
        <v>312</v>
      </c>
      <c r="F90" s="209" t="s">
        <v>199</v>
      </c>
      <c r="G90" s="209" t="s">
        <v>106</v>
      </c>
      <c r="H90" s="209" t="s">
        <v>577</v>
      </c>
      <c r="I90" s="209" t="str">
        <f>+CONCATENATE(Table_Query_from_MS_Access_Database_1[[#This Row],[RTE]],Table_Query_from_MS_Access_Database_1[[#This Row],[SEC]],Table_Query_from_MS_Access_Database_1[[#This Row],[SEQ]])</f>
        <v>SCT0230</v>
      </c>
      <c r="J90" s="210">
        <v>42825</v>
      </c>
      <c r="K90" s="210">
        <v>42836</v>
      </c>
      <c r="L90" s="210">
        <v>42859</v>
      </c>
      <c r="M90" s="210">
        <v>42872</v>
      </c>
      <c r="N90" s="211">
        <v>678960</v>
      </c>
      <c r="O90" s="211"/>
      <c r="P90" s="211"/>
      <c r="Q90" s="211"/>
      <c r="R90" s="211"/>
      <c r="S90" s="211"/>
      <c r="T90" s="211"/>
      <c r="U90" s="211"/>
      <c r="V90" s="211"/>
      <c r="W90" s="211">
        <f>+SUM(Table_Query_from_MS_Access_Database_1[[#This Row],[CMAQ]:[TA OVER 200K]])</f>
        <v>678960</v>
      </c>
      <c r="X90" s="53">
        <f>X89-Table_Query_from_MS_Access_Database_1[TOTAL OF AMOUNT]</f>
        <v>84937514.279999971</v>
      </c>
    </row>
    <row r="91" spans="1:24" ht="26.4" x14ac:dyDescent="0.3">
      <c r="A91" s="208" t="s">
        <v>241</v>
      </c>
      <c r="B91" s="208" t="s">
        <v>242</v>
      </c>
      <c r="C91" s="209" t="s">
        <v>173</v>
      </c>
      <c r="D91" s="208" t="s">
        <v>7</v>
      </c>
      <c r="E91" s="208" t="s">
        <v>576</v>
      </c>
      <c r="F91" s="209" t="s">
        <v>174</v>
      </c>
      <c r="G91" s="209" t="s">
        <v>106</v>
      </c>
      <c r="H91" s="209" t="s">
        <v>243</v>
      </c>
      <c r="I91" s="209" t="str">
        <f>+CONCATENATE(Table_Query_from_MS_Access_Database_1[[#This Row],[RTE]],Table_Query_from_MS_Access_Database_1[[#This Row],[SEC]],Table_Query_from_MS_Access_Database_1[[#This Row],[SEQ]])</f>
        <v>PE00222</v>
      </c>
      <c r="J91" s="210">
        <v>42860</v>
      </c>
      <c r="K91" s="210">
        <v>42866</v>
      </c>
      <c r="L91" s="210">
        <v>42870</v>
      </c>
      <c r="M91" s="210">
        <v>42872</v>
      </c>
      <c r="N91" s="211">
        <v>206773</v>
      </c>
      <c r="O91" s="211"/>
      <c r="P91" s="211"/>
      <c r="Q91" s="211"/>
      <c r="R91" s="211"/>
      <c r="S91" s="211"/>
      <c r="T91" s="211"/>
      <c r="U91" s="211"/>
      <c r="V91" s="211"/>
      <c r="W91" s="211">
        <f>+SUM(Table_Query_from_MS_Access_Database_1[[#This Row],[CMAQ]:[TA OVER 200K]])</f>
        <v>206773</v>
      </c>
      <c r="X91" s="53">
        <f>X90-Table_Query_from_MS_Access_Database_1[TOTAL OF AMOUNT]</f>
        <v>84730741.279999971</v>
      </c>
    </row>
    <row r="92" spans="1:24" ht="26.4" x14ac:dyDescent="0.3">
      <c r="A92" s="208" t="s">
        <v>305</v>
      </c>
      <c r="B92" s="208" t="s">
        <v>306</v>
      </c>
      <c r="C92" s="209" t="s">
        <v>107</v>
      </c>
      <c r="D92" s="208" t="s">
        <v>7</v>
      </c>
      <c r="E92" s="208" t="s">
        <v>200</v>
      </c>
      <c r="F92" s="209" t="s">
        <v>108</v>
      </c>
      <c r="G92" s="209" t="s">
        <v>106</v>
      </c>
      <c r="H92" s="209" t="s">
        <v>184</v>
      </c>
      <c r="I92" s="209" t="str">
        <f>+CONCATENATE(Table_Query_from_MS_Access_Database_1[[#This Row],[RTE]],Table_Query_from_MS_Access_Database_1[[#This Row],[SEC]],Table_Query_from_MS_Access_Database_1[[#This Row],[SEQ]])</f>
        <v>PHX0TBD</v>
      </c>
      <c r="J92" s="210">
        <v>42887</v>
      </c>
      <c r="K92" s="210">
        <v>42832</v>
      </c>
      <c r="L92" s="210">
        <v>42860</v>
      </c>
      <c r="M92" s="210">
        <v>42872</v>
      </c>
      <c r="N92" s="211"/>
      <c r="O92" s="211"/>
      <c r="P92" s="211"/>
      <c r="Q92" s="211"/>
      <c r="R92" s="211"/>
      <c r="S92" s="211"/>
      <c r="T92" s="211"/>
      <c r="U92" s="211"/>
      <c r="V92" s="211">
        <v>28997</v>
      </c>
      <c r="W92" s="211">
        <f>+SUM(Table_Query_from_MS_Access_Database_1[[#This Row],[CMAQ]:[TA OVER 200K]])</f>
        <v>28997</v>
      </c>
      <c r="X92" s="53">
        <f>X91-Table_Query_from_MS_Access_Database_1[TOTAL OF AMOUNT]</f>
        <v>84701744.279999971</v>
      </c>
    </row>
    <row r="93" spans="1:24" ht="26.4" x14ac:dyDescent="0.3">
      <c r="A93" s="208" t="s">
        <v>307</v>
      </c>
      <c r="B93" s="208" t="s">
        <v>308</v>
      </c>
      <c r="C93" s="209" t="s">
        <v>107</v>
      </c>
      <c r="D93" s="208" t="s">
        <v>7</v>
      </c>
      <c r="E93" s="208" t="s">
        <v>309</v>
      </c>
      <c r="F93" s="209" t="s">
        <v>108</v>
      </c>
      <c r="G93" s="209" t="s">
        <v>106</v>
      </c>
      <c r="H93" s="209" t="s">
        <v>184</v>
      </c>
      <c r="I93" s="209" t="str">
        <f>+CONCATENATE(Table_Query_from_MS_Access_Database_1[[#This Row],[RTE]],Table_Query_from_MS_Access_Database_1[[#This Row],[SEC]],Table_Query_from_MS_Access_Database_1[[#This Row],[SEQ]])</f>
        <v>PHX0TBD</v>
      </c>
      <c r="J93" s="210">
        <v>42887</v>
      </c>
      <c r="K93" s="210">
        <v>42832</v>
      </c>
      <c r="L93" s="210">
        <v>42860</v>
      </c>
      <c r="M93" s="210">
        <v>42872</v>
      </c>
      <c r="N93" s="211"/>
      <c r="O93" s="211"/>
      <c r="P93" s="211"/>
      <c r="Q93" s="211"/>
      <c r="R93" s="211"/>
      <c r="S93" s="211"/>
      <c r="T93" s="211"/>
      <c r="U93" s="211"/>
      <c r="V93" s="211">
        <v>20746</v>
      </c>
      <c r="W93" s="211">
        <f>+SUM(Table_Query_from_MS_Access_Database_1[[#This Row],[CMAQ]:[TA OVER 200K]])</f>
        <v>20746</v>
      </c>
      <c r="X93" s="53">
        <f>X92-Table_Query_from_MS_Access_Database_1[TOTAL OF AMOUNT]</f>
        <v>84680998.279999971</v>
      </c>
    </row>
    <row r="94" spans="1:24" x14ac:dyDescent="0.3">
      <c r="A94" s="208" t="s">
        <v>592</v>
      </c>
      <c r="B94" s="208" t="s">
        <v>593</v>
      </c>
      <c r="C94" s="209" t="s">
        <v>107</v>
      </c>
      <c r="D94" s="208" t="s">
        <v>8</v>
      </c>
      <c r="E94" s="208" t="s">
        <v>594</v>
      </c>
      <c r="F94" s="209" t="s">
        <v>108</v>
      </c>
      <c r="G94" s="209" t="s">
        <v>106</v>
      </c>
      <c r="H94" s="209" t="s">
        <v>595</v>
      </c>
      <c r="I94" s="209" t="str">
        <f>+CONCATENATE(Table_Query_from_MS_Access_Database_1[[#This Row],[RTE]],Table_Query_from_MS_Access_Database_1[[#This Row],[SEC]],Table_Query_from_MS_Access_Database_1[[#This Row],[SEQ]])</f>
        <v>PHX0286</v>
      </c>
      <c r="J94" s="210"/>
      <c r="K94" s="210">
        <v>42872</v>
      </c>
      <c r="L94" s="210">
        <v>42872</v>
      </c>
      <c r="M94" s="210">
        <v>42873</v>
      </c>
      <c r="N94" s="211">
        <v>-73000</v>
      </c>
      <c r="O94" s="211"/>
      <c r="P94" s="211"/>
      <c r="Q94" s="211"/>
      <c r="R94" s="211"/>
      <c r="S94" s="211"/>
      <c r="T94" s="211"/>
      <c r="U94" s="211"/>
      <c r="V94" s="211"/>
      <c r="W94" s="211">
        <f>+SUM(Table_Query_from_MS_Access_Database_1[[#This Row],[CMAQ]:[TA OVER 200K]])</f>
        <v>-73000</v>
      </c>
      <c r="X94" s="53">
        <f>X93-Table_Query_from_MS_Access_Database_1[TOTAL OF AMOUNT]</f>
        <v>84753998.279999971</v>
      </c>
    </row>
    <row r="95" spans="1:24" ht="39.6" x14ac:dyDescent="0.3">
      <c r="A95" s="208" t="s">
        <v>390</v>
      </c>
      <c r="B95" s="208" t="s">
        <v>391</v>
      </c>
      <c r="C95" s="209" t="s">
        <v>140</v>
      </c>
      <c r="D95" s="208" t="s">
        <v>22</v>
      </c>
      <c r="E95" s="208" t="s">
        <v>392</v>
      </c>
      <c r="F95" s="209" t="s">
        <v>136</v>
      </c>
      <c r="G95" s="209" t="s">
        <v>106</v>
      </c>
      <c r="H95" s="209" t="s">
        <v>216</v>
      </c>
      <c r="I95" s="209" t="str">
        <f>+CONCATENATE(Table_Query_from_MS_Access_Database_1[[#This Row],[RTE]],Table_Query_from_MS_Access_Database_1[[#This Row],[SEC]],Table_Query_from_MS_Access_Database_1[[#This Row],[SEQ]])</f>
        <v>MMA0249</v>
      </c>
      <c r="J95" s="210">
        <v>42873</v>
      </c>
      <c r="K95" s="210">
        <v>42873</v>
      </c>
      <c r="L95" s="210">
        <v>42873</v>
      </c>
      <c r="M95" s="210">
        <v>42873</v>
      </c>
      <c r="N95" s="211"/>
      <c r="O95" s="211"/>
      <c r="P95" s="211"/>
      <c r="Q95" s="211"/>
      <c r="R95" s="211"/>
      <c r="S95" s="211"/>
      <c r="T95" s="211">
        <v>50000</v>
      </c>
      <c r="U95" s="211"/>
      <c r="V95" s="211"/>
      <c r="W95" s="211">
        <f>+SUM(Table_Query_from_MS_Access_Database_1[[#This Row],[CMAQ]:[TA OVER 200K]])</f>
        <v>50000</v>
      </c>
      <c r="X95" s="53">
        <f>X94-Table_Query_from_MS_Access_Database_1[TOTAL OF AMOUNT]</f>
        <v>84703998.279999971</v>
      </c>
    </row>
    <row r="96" spans="1:24" ht="52.8" x14ac:dyDescent="0.3">
      <c r="A96" s="208" t="s">
        <v>227</v>
      </c>
      <c r="B96" s="208" t="s">
        <v>228</v>
      </c>
      <c r="C96" s="209" t="s">
        <v>140</v>
      </c>
      <c r="D96" s="208" t="s">
        <v>22</v>
      </c>
      <c r="E96" s="208" t="s">
        <v>635</v>
      </c>
      <c r="F96" s="209" t="s">
        <v>136</v>
      </c>
      <c r="G96" s="209" t="s">
        <v>106</v>
      </c>
      <c r="H96" s="209" t="s">
        <v>215</v>
      </c>
      <c r="I96" s="209" t="str">
        <f>+CONCATENATE(Table_Query_from_MS_Access_Database_1[[#This Row],[RTE]],Table_Query_from_MS_Access_Database_1[[#This Row],[SEC]],Table_Query_from_MS_Access_Database_1[[#This Row],[SEQ]])</f>
        <v>MMA0248</v>
      </c>
      <c r="J96" s="210">
        <v>42873</v>
      </c>
      <c r="K96" s="210">
        <v>42873</v>
      </c>
      <c r="L96" s="210">
        <v>42873</v>
      </c>
      <c r="M96" s="210">
        <v>42873</v>
      </c>
      <c r="N96" s="211"/>
      <c r="O96" s="211"/>
      <c r="P96" s="211"/>
      <c r="Q96" s="211"/>
      <c r="R96" s="211"/>
      <c r="S96" s="211"/>
      <c r="T96" s="211">
        <v>279317</v>
      </c>
      <c r="U96" s="211"/>
      <c r="V96" s="211"/>
      <c r="W96" s="211">
        <f>+SUM(Table_Query_from_MS_Access_Database_1[[#This Row],[CMAQ]:[TA OVER 200K]])</f>
        <v>279317</v>
      </c>
      <c r="X96" s="53">
        <f>X95-Table_Query_from_MS_Access_Database_1[TOTAL OF AMOUNT]</f>
        <v>84424681.279999971</v>
      </c>
    </row>
    <row r="97" spans="1:24" x14ac:dyDescent="0.3">
      <c r="A97" s="223" t="s">
        <v>552</v>
      </c>
      <c r="B97" s="223" t="s">
        <v>553</v>
      </c>
      <c r="C97" s="102" t="s">
        <v>195</v>
      </c>
      <c r="D97" s="223" t="s">
        <v>7</v>
      </c>
      <c r="E97" s="223" t="s">
        <v>274</v>
      </c>
      <c r="F97" s="102" t="s">
        <v>196</v>
      </c>
      <c r="G97" s="102" t="s">
        <v>106</v>
      </c>
      <c r="H97" s="102" t="s">
        <v>275</v>
      </c>
      <c r="I97" s="102" t="str">
        <f>+CONCATENATE(Table_Query_from_MS_Access_Database_1[[#This Row],[RTE]],Table_Query_from_MS_Access_Database_1[[#This Row],[SEC]],Table_Query_from_MS_Access_Database_1[[#This Row],[SEQ]])</f>
        <v>GLN0246</v>
      </c>
      <c r="J97" s="161">
        <v>42917</v>
      </c>
      <c r="K97" s="161">
        <v>42856</v>
      </c>
      <c r="L97" s="161">
        <v>42878</v>
      </c>
      <c r="M97" s="161">
        <v>42879</v>
      </c>
      <c r="N97" s="158"/>
      <c r="O97" s="158"/>
      <c r="P97" s="158">
        <v>382271</v>
      </c>
      <c r="Q97" s="158"/>
      <c r="R97" s="158"/>
      <c r="S97" s="158"/>
      <c r="T97" s="158"/>
      <c r="U97" s="158"/>
      <c r="V97" s="158"/>
      <c r="W97" s="158">
        <f>+SUM(Table_Query_from_MS_Access_Database_1[[#This Row],[CMAQ]:[TA OVER 200K]])</f>
        <v>382271</v>
      </c>
      <c r="X97" s="53">
        <f>X96-Table_Query_from_MS_Access_Database_1[TOTAL OF AMOUNT]</f>
        <v>84042410.279999971</v>
      </c>
    </row>
    <row r="98" spans="1:24" ht="26.4" x14ac:dyDescent="0.3">
      <c r="A98" s="208" t="s">
        <v>470</v>
      </c>
      <c r="B98" s="208" t="s">
        <v>471</v>
      </c>
      <c r="C98" s="209" t="s">
        <v>195</v>
      </c>
      <c r="D98" s="208" t="s">
        <v>7</v>
      </c>
      <c r="E98" s="208" t="s">
        <v>472</v>
      </c>
      <c r="F98" s="209" t="s">
        <v>196</v>
      </c>
      <c r="G98" s="209" t="s">
        <v>106</v>
      </c>
      <c r="H98" s="209" t="s">
        <v>473</v>
      </c>
      <c r="I98" s="209" t="str">
        <f>+CONCATENATE(Table_Query_from_MS_Access_Database_1[[#This Row],[RTE]],Table_Query_from_MS_Access_Database_1[[#This Row],[SEC]],Table_Query_from_MS_Access_Database_1[[#This Row],[SEQ]])</f>
        <v>GLN0255</v>
      </c>
      <c r="J98" s="210">
        <v>42887</v>
      </c>
      <c r="K98" s="210">
        <v>42877</v>
      </c>
      <c r="L98" s="210">
        <v>42877</v>
      </c>
      <c r="M98" s="210">
        <v>42880</v>
      </c>
      <c r="N98" s="211">
        <v>46207</v>
      </c>
      <c r="O98" s="211"/>
      <c r="P98" s="211"/>
      <c r="Q98" s="211"/>
      <c r="R98" s="211"/>
      <c r="S98" s="211"/>
      <c r="T98" s="211"/>
      <c r="U98" s="211"/>
      <c r="V98" s="211"/>
      <c r="W98" s="211">
        <f>+SUM(Table_Query_from_MS_Access_Database_1[[#This Row],[CMAQ]:[TA OVER 200K]])</f>
        <v>46207</v>
      </c>
      <c r="X98" s="53">
        <f>X97-Table_Query_from_MS_Access_Database_1[TOTAL OF AMOUNT]</f>
        <v>83996203.279999971</v>
      </c>
    </row>
    <row r="99" spans="1:24" ht="26.4" x14ac:dyDescent="0.3">
      <c r="A99" s="208" t="s">
        <v>446</v>
      </c>
      <c r="B99" s="208" t="s">
        <v>447</v>
      </c>
      <c r="C99" s="209" t="s">
        <v>107</v>
      </c>
      <c r="D99" s="208" t="s">
        <v>7</v>
      </c>
      <c r="E99" s="208" t="s">
        <v>448</v>
      </c>
      <c r="F99" s="209" t="s">
        <v>108</v>
      </c>
      <c r="G99" s="209" t="s">
        <v>106</v>
      </c>
      <c r="H99" s="209" t="s">
        <v>449</v>
      </c>
      <c r="I99" s="209" t="str">
        <f>+CONCATENATE(Table_Query_from_MS_Access_Database_1[[#This Row],[RTE]],Table_Query_from_MS_Access_Database_1[[#This Row],[SEC]],Table_Query_from_MS_Access_Database_1[[#This Row],[SEQ]])</f>
        <v>PHX0276</v>
      </c>
      <c r="J99" s="210">
        <v>42877</v>
      </c>
      <c r="K99" s="210">
        <v>42867</v>
      </c>
      <c r="L99" s="210">
        <v>42873</v>
      </c>
      <c r="M99" s="210">
        <v>42881</v>
      </c>
      <c r="N99" s="211">
        <v>405956</v>
      </c>
      <c r="O99" s="211"/>
      <c r="P99" s="211"/>
      <c r="Q99" s="211"/>
      <c r="R99" s="211"/>
      <c r="S99" s="211"/>
      <c r="T99" s="211"/>
      <c r="U99" s="211"/>
      <c r="V99" s="211"/>
      <c r="W99" s="211">
        <f>+SUM(Table_Query_from_MS_Access_Database_1[[#This Row],[CMAQ]:[TA OVER 200K]])</f>
        <v>405956</v>
      </c>
      <c r="X99" s="53">
        <f>X98-Table_Query_from_MS_Access_Database_1[TOTAL OF AMOUNT]</f>
        <v>83590247.279999971</v>
      </c>
    </row>
    <row r="100" spans="1:24" ht="26.4" x14ac:dyDescent="0.3">
      <c r="A100" s="208" t="s">
        <v>478</v>
      </c>
      <c r="B100" s="208" t="s">
        <v>479</v>
      </c>
      <c r="C100" s="209" t="s">
        <v>195</v>
      </c>
      <c r="D100" s="208" t="s">
        <v>7</v>
      </c>
      <c r="E100" s="208" t="s">
        <v>480</v>
      </c>
      <c r="F100" s="209" t="s">
        <v>196</v>
      </c>
      <c r="G100" s="209" t="s">
        <v>106</v>
      </c>
      <c r="H100" s="209" t="s">
        <v>481</v>
      </c>
      <c r="I100" s="209" t="str">
        <f>+CONCATENATE(Table_Query_from_MS_Access_Database_1[[#This Row],[RTE]],Table_Query_from_MS_Access_Database_1[[#This Row],[SEC]],Table_Query_from_MS_Access_Database_1[[#This Row],[SEQ]])</f>
        <v>GLN0257</v>
      </c>
      <c r="J100" s="210">
        <v>42826</v>
      </c>
      <c r="K100" s="210">
        <v>42859</v>
      </c>
      <c r="L100" s="210">
        <v>42877</v>
      </c>
      <c r="M100" s="210">
        <v>42885</v>
      </c>
      <c r="N100" s="211">
        <v>94300</v>
      </c>
      <c r="O100" s="211"/>
      <c r="P100" s="211"/>
      <c r="Q100" s="211"/>
      <c r="R100" s="211"/>
      <c r="S100" s="211"/>
      <c r="T100" s="211"/>
      <c r="U100" s="211"/>
      <c r="V100" s="211"/>
      <c r="W100" s="211">
        <f>+SUM(Table_Query_from_MS_Access_Database_1[[#This Row],[CMAQ]:[TA OVER 200K]])</f>
        <v>94300</v>
      </c>
      <c r="X100" s="53">
        <f>X99-Table_Query_from_MS_Access_Database_1[TOTAL OF AMOUNT]</f>
        <v>83495947.279999971</v>
      </c>
    </row>
    <row r="101" spans="1:24" x14ac:dyDescent="0.3">
      <c r="A101" s="208" t="s">
        <v>272</v>
      </c>
      <c r="B101" s="208" t="s">
        <v>273</v>
      </c>
      <c r="C101" s="209" t="s">
        <v>195</v>
      </c>
      <c r="D101" s="208" t="s">
        <v>7</v>
      </c>
      <c r="E101" s="208" t="s">
        <v>274</v>
      </c>
      <c r="F101" s="209" t="s">
        <v>196</v>
      </c>
      <c r="G101" s="209" t="s">
        <v>106</v>
      </c>
      <c r="H101" s="209" t="s">
        <v>275</v>
      </c>
      <c r="I101" s="209" t="str">
        <f>+CONCATENATE(Table_Query_from_MS_Access_Database_1[[#This Row],[RTE]],Table_Query_from_MS_Access_Database_1[[#This Row],[SEC]],Table_Query_from_MS_Access_Database_1[[#This Row],[SEQ]])</f>
        <v>GLN0246</v>
      </c>
      <c r="J101" s="210">
        <v>42874</v>
      </c>
      <c r="K101" s="210">
        <v>42870</v>
      </c>
      <c r="L101" s="210">
        <v>42888</v>
      </c>
      <c r="M101" s="210">
        <v>42892</v>
      </c>
      <c r="N101" s="211"/>
      <c r="O101" s="211"/>
      <c r="P101" s="211">
        <v>824105</v>
      </c>
      <c r="Q101" s="211"/>
      <c r="R101" s="211"/>
      <c r="S101" s="211"/>
      <c r="T101" s="211"/>
      <c r="U101" s="211"/>
      <c r="V101" s="211"/>
      <c r="W101" s="211">
        <f>+SUM(Table_Query_from_MS_Access_Database_1[[#This Row],[CMAQ]:[TA OVER 200K]])</f>
        <v>824105</v>
      </c>
      <c r="X101" s="53">
        <f>X100-Table_Query_from_MS_Access_Database_1[TOTAL OF AMOUNT]</f>
        <v>82671842.279999971</v>
      </c>
    </row>
    <row r="102" spans="1:24" ht="39.6" x14ac:dyDescent="0.3">
      <c r="A102" s="208" t="s">
        <v>450</v>
      </c>
      <c r="B102" s="208" t="s">
        <v>451</v>
      </c>
      <c r="C102" s="209" t="s">
        <v>140</v>
      </c>
      <c r="D102" s="208" t="s">
        <v>8</v>
      </c>
      <c r="E102" s="208" t="s">
        <v>452</v>
      </c>
      <c r="F102" s="209" t="s">
        <v>136</v>
      </c>
      <c r="G102" s="209" t="s">
        <v>106</v>
      </c>
      <c r="H102" s="209" t="s">
        <v>179</v>
      </c>
      <c r="I102" s="209" t="str">
        <f>+CONCATENATE(Table_Query_from_MS_Access_Database_1[[#This Row],[RTE]],Table_Query_from_MS_Access_Database_1[[#This Row],[SEC]],Table_Query_from_MS_Access_Database_1[[#This Row],[SEQ]])</f>
        <v>MMA0245</v>
      </c>
      <c r="J102" s="210">
        <v>42849</v>
      </c>
      <c r="K102" s="210">
        <v>42856</v>
      </c>
      <c r="L102" s="210">
        <v>42871</v>
      </c>
      <c r="M102" s="210">
        <v>42894</v>
      </c>
      <c r="N102" s="211">
        <v>252427</v>
      </c>
      <c r="O102" s="211"/>
      <c r="P102" s="211"/>
      <c r="Q102" s="211"/>
      <c r="R102" s="211"/>
      <c r="S102" s="211"/>
      <c r="T102" s="211"/>
      <c r="U102" s="211"/>
      <c r="V102" s="211"/>
      <c r="W102" s="211">
        <f>+SUM(Table_Query_from_MS_Access_Database_1[[#This Row],[CMAQ]:[TA OVER 200K]])</f>
        <v>252427</v>
      </c>
      <c r="X102" s="53">
        <f>X101-Table_Query_from_MS_Access_Database_1[TOTAL OF AMOUNT]</f>
        <v>82419415.279999971</v>
      </c>
    </row>
    <row r="103" spans="1:24" ht="26.4" x14ac:dyDescent="0.3">
      <c r="A103" s="208" t="s">
        <v>598</v>
      </c>
      <c r="B103" s="208" t="s">
        <v>599</v>
      </c>
      <c r="C103" s="209" t="s">
        <v>140</v>
      </c>
      <c r="D103" s="208" t="s">
        <v>9</v>
      </c>
      <c r="E103" s="208" t="s">
        <v>600</v>
      </c>
      <c r="F103" s="209" t="s">
        <v>136</v>
      </c>
      <c r="G103" s="209" t="s">
        <v>106</v>
      </c>
      <c r="H103" s="209" t="s">
        <v>498</v>
      </c>
      <c r="I103" s="209" t="str">
        <f>+CONCATENATE(Table_Query_from_MS_Access_Database_1[[#This Row],[RTE]],Table_Query_from_MS_Access_Database_1[[#This Row],[SEC]],Table_Query_from_MS_Access_Database_1[[#This Row],[SEQ]])</f>
        <v>MMA0237</v>
      </c>
      <c r="J103" s="210"/>
      <c r="K103" s="210">
        <v>42895</v>
      </c>
      <c r="L103" s="210">
        <v>42895</v>
      </c>
      <c r="M103" s="210">
        <v>42899</v>
      </c>
      <c r="N103" s="211">
        <v>-273605.76000000001</v>
      </c>
      <c r="O103" s="211"/>
      <c r="P103" s="211"/>
      <c r="Q103" s="211"/>
      <c r="R103" s="211"/>
      <c r="S103" s="211"/>
      <c r="T103" s="211"/>
      <c r="U103" s="211"/>
      <c r="V103" s="211"/>
      <c r="W103" s="211">
        <f>+SUM(Table_Query_from_MS_Access_Database_1[[#This Row],[CMAQ]:[TA OVER 200K]])</f>
        <v>-273605.76000000001</v>
      </c>
      <c r="X103" s="53">
        <f>X102-Table_Query_from_MS_Access_Database_1[TOTAL OF AMOUNT]</f>
        <v>82693021.039999977</v>
      </c>
    </row>
    <row r="104" spans="1:24" ht="26.4" x14ac:dyDescent="0.3">
      <c r="A104" s="208" t="s">
        <v>573</v>
      </c>
      <c r="B104" s="208" t="s">
        <v>574</v>
      </c>
      <c r="C104" s="209" t="s">
        <v>140</v>
      </c>
      <c r="D104" s="208" t="s">
        <v>8</v>
      </c>
      <c r="E104" s="208" t="s">
        <v>575</v>
      </c>
      <c r="F104" s="209" t="s">
        <v>136</v>
      </c>
      <c r="G104" s="209" t="s">
        <v>106</v>
      </c>
      <c r="H104" s="209" t="s">
        <v>197</v>
      </c>
      <c r="I104" s="209" t="str">
        <f>+CONCATENATE(Table_Query_from_MS_Access_Database_1[[#This Row],[RTE]],Table_Query_from_MS_Access_Database_1[[#This Row],[SEC]],Table_Query_from_MS_Access_Database_1[[#This Row],[SEQ]])</f>
        <v>MMA0239</v>
      </c>
      <c r="J104" s="210"/>
      <c r="K104" s="210">
        <v>42867</v>
      </c>
      <c r="L104" s="210">
        <v>42895</v>
      </c>
      <c r="M104" s="210">
        <v>42899</v>
      </c>
      <c r="N104" s="211"/>
      <c r="O104" s="211"/>
      <c r="P104" s="211"/>
      <c r="Q104" s="211"/>
      <c r="R104" s="211"/>
      <c r="S104" s="211"/>
      <c r="T104" s="211">
        <v>560000</v>
      </c>
      <c r="U104" s="211"/>
      <c r="V104" s="211"/>
      <c r="W104" s="211">
        <f>+SUM(Table_Query_from_MS_Access_Database_1[[#This Row],[CMAQ]:[TA OVER 200K]])</f>
        <v>560000</v>
      </c>
      <c r="X104" s="53">
        <f>X103-Table_Query_from_MS_Access_Database_1[TOTAL OF AMOUNT]</f>
        <v>82133021.039999977</v>
      </c>
    </row>
    <row r="105" spans="1:24" x14ac:dyDescent="0.3">
      <c r="A105" s="208" t="s">
        <v>278</v>
      </c>
      <c r="B105" s="208" t="s">
        <v>279</v>
      </c>
      <c r="C105" s="209" t="s">
        <v>195</v>
      </c>
      <c r="D105" s="208" t="s">
        <v>21</v>
      </c>
      <c r="E105" s="208" t="s">
        <v>280</v>
      </c>
      <c r="F105" s="209" t="s">
        <v>196</v>
      </c>
      <c r="G105" s="209" t="s">
        <v>106</v>
      </c>
      <c r="H105" s="209" t="s">
        <v>281</v>
      </c>
      <c r="I105" s="209" t="str">
        <f>+CONCATENATE(Table_Query_from_MS_Access_Database_1[[#This Row],[RTE]],Table_Query_from_MS_Access_Database_1[[#This Row],[SEC]],Table_Query_from_MS_Access_Database_1[[#This Row],[SEQ]])</f>
        <v>GLN0250</v>
      </c>
      <c r="J105" s="210"/>
      <c r="K105" s="210">
        <v>42877</v>
      </c>
      <c r="L105" s="210">
        <v>42893</v>
      </c>
      <c r="M105" s="210">
        <v>42899</v>
      </c>
      <c r="N105" s="211"/>
      <c r="O105" s="211"/>
      <c r="P105" s="211"/>
      <c r="Q105" s="211"/>
      <c r="R105" s="211"/>
      <c r="S105" s="211"/>
      <c r="T105" s="211"/>
      <c r="U105" s="211"/>
      <c r="V105" s="211">
        <v>-10031</v>
      </c>
      <c r="W105" s="211">
        <f>+SUM(Table_Query_from_MS_Access_Database_1[[#This Row],[CMAQ]:[TA OVER 200K]])</f>
        <v>-10031</v>
      </c>
      <c r="X105" s="53">
        <f>X104-Table_Query_from_MS_Access_Database_1[TOTAL OF AMOUNT]</f>
        <v>82143052.039999977</v>
      </c>
    </row>
    <row r="106" spans="1:24" ht="39.6" x14ac:dyDescent="0.3">
      <c r="A106" s="193" t="s">
        <v>486</v>
      </c>
      <c r="B106" s="193" t="s">
        <v>487</v>
      </c>
      <c r="C106" s="194" t="s">
        <v>195</v>
      </c>
      <c r="D106" s="193" t="s">
        <v>7</v>
      </c>
      <c r="E106" s="193" t="s">
        <v>488</v>
      </c>
      <c r="F106" s="194" t="s">
        <v>196</v>
      </c>
      <c r="G106" s="194" t="s">
        <v>106</v>
      </c>
      <c r="H106" s="194" t="s">
        <v>294</v>
      </c>
      <c r="I106" s="194" t="str">
        <f>+CONCATENATE(Table_Query_from_MS_Access_Database_1[[#This Row],[RTE]],Table_Query_from_MS_Access_Database_1[[#This Row],[SEC]],Table_Query_from_MS_Access_Database_1[[#This Row],[SEQ]])</f>
        <v>GLN0254</v>
      </c>
      <c r="J106" s="195">
        <v>42887</v>
      </c>
      <c r="K106" s="195">
        <v>42859</v>
      </c>
      <c r="L106" s="195">
        <v>42894</v>
      </c>
      <c r="M106" s="195">
        <v>42901</v>
      </c>
      <c r="N106" s="196">
        <v>41339</v>
      </c>
      <c r="O106" s="196"/>
      <c r="P106" s="196"/>
      <c r="Q106" s="196"/>
      <c r="R106" s="196"/>
      <c r="S106" s="196"/>
      <c r="T106" s="196"/>
      <c r="U106" s="196"/>
      <c r="V106" s="196"/>
      <c r="W106" s="196">
        <f>+SUM(Table_Query_from_MS_Access_Database_1[[#This Row],[CMAQ]:[TA OVER 200K]])</f>
        <v>41339</v>
      </c>
      <c r="X106" s="53">
        <f>X105-Table_Query_from_MS_Access_Database_1[TOTAL OF AMOUNT]</f>
        <v>82101713.039999977</v>
      </c>
    </row>
    <row r="107" spans="1:24" ht="26.4" x14ac:dyDescent="0.3">
      <c r="A107" s="208" t="s">
        <v>276</v>
      </c>
      <c r="B107" s="208" t="s">
        <v>589</v>
      </c>
      <c r="C107" s="209" t="s">
        <v>190</v>
      </c>
      <c r="D107" s="208" t="s">
        <v>7</v>
      </c>
      <c r="E107" s="208" t="s">
        <v>277</v>
      </c>
      <c r="F107" s="209" t="s">
        <v>191</v>
      </c>
      <c r="G107" s="209" t="s">
        <v>106</v>
      </c>
      <c r="H107" s="209" t="s">
        <v>267</v>
      </c>
      <c r="I107" s="209" t="str">
        <f>+CONCATENATE(Table_Query_from_MS_Access_Database_1[[#This Row],[RTE]],Table_Query_from_MS_Access_Database_1[[#This Row],[SEC]],Table_Query_from_MS_Access_Database_1[[#This Row],[SEQ]])</f>
        <v>AVN0220</v>
      </c>
      <c r="J107" s="210">
        <v>42860</v>
      </c>
      <c r="K107" s="210">
        <v>42887</v>
      </c>
      <c r="L107" s="210">
        <v>42895</v>
      </c>
      <c r="M107" s="210">
        <v>42901</v>
      </c>
      <c r="N107" s="211"/>
      <c r="O107" s="211"/>
      <c r="P107" s="211">
        <v>205744</v>
      </c>
      <c r="Q107" s="211"/>
      <c r="R107" s="211"/>
      <c r="S107" s="211"/>
      <c r="T107" s="211">
        <v>254708</v>
      </c>
      <c r="U107" s="211"/>
      <c r="V107" s="211"/>
      <c r="W107" s="211">
        <f>+SUM(Table_Query_from_MS_Access_Database_1[[#This Row],[CMAQ]:[TA OVER 200K]])</f>
        <v>460452</v>
      </c>
      <c r="X107" s="53">
        <f>X106-Table_Query_from_MS_Access_Database_1[TOTAL OF AMOUNT]</f>
        <v>81641261.039999977</v>
      </c>
    </row>
    <row r="108" spans="1:24" ht="26.4" x14ac:dyDescent="0.3">
      <c r="A108" s="208" t="s">
        <v>474</v>
      </c>
      <c r="B108" s="208" t="s">
        <v>475</v>
      </c>
      <c r="C108" s="209" t="s">
        <v>195</v>
      </c>
      <c r="D108" s="208" t="s">
        <v>7</v>
      </c>
      <c r="E108" s="208" t="s">
        <v>476</v>
      </c>
      <c r="F108" s="209" t="s">
        <v>196</v>
      </c>
      <c r="G108" s="209" t="s">
        <v>106</v>
      </c>
      <c r="H108" s="209" t="s">
        <v>477</v>
      </c>
      <c r="I108" s="209" t="str">
        <f>+CONCATENATE(Table_Query_from_MS_Access_Database_1[[#This Row],[RTE]],Table_Query_from_MS_Access_Database_1[[#This Row],[SEC]],Table_Query_from_MS_Access_Database_1[[#This Row],[SEQ]])</f>
        <v>GLN0256</v>
      </c>
      <c r="J108" s="210">
        <v>42887</v>
      </c>
      <c r="K108" s="210">
        <v>42859</v>
      </c>
      <c r="L108" s="210">
        <v>42877</v>
      </c>
      <c r="M108" s="210">
        <v>42901</v>
      </c>
      <c r="N108" s="211">
        <v>83149</v>
      </c>
      <c r="O108" s="211"/>
      <c r="P108" s="211"/>
      <c r="Q108" s="211"/>
      <c r="R108" s="211"/>
      <c r="S108" s="211"/>
      <c r="T108" s="211"/>
      <c r="U108" s="211"/>
      <c r="V108" s="211"/>
      <c r="W108" s="211">
        <f>+SUM(Table_Query_from_MS_Access_Database_1[[#This Row],[CMAQ]:[TA OVER 200K]])</f>
        <v>83149</v>
      </c>
      <c r="X108" s="53">
        <f>X107-Table_Query_from_MS_Access_Database_1[TOTAL OF AMOUNT]</f>
        <v>81558112.039999977</v>
      </c>
    </row>
    <row r="109" spans="1:24" x14ac:dyDescent="0.3">
      <c r="A109" s="187" t="s">
        <v>551</v>
      </c>
      <c r="B109" s="187" t="s">
        <v>380</v>
      </c>
      <c r="C109" s="188" t="s">
        <v>198</v>
      </c>
      <c r="D109" s="187" t="s">
        <v>9</v>
      </c>
      <c r="E109" s="187" t="s">
        <v>381</v>
      </c>
      <c r="F109" s="188" t="s">
        <v>199</v>
      </c>
      <c r="G109" s="188" t="s">
        <v>106</v>
      </c>
      <c r="H109" s="188" t="s">
        <v>333</v>
      </c>
      <c r="I109" s="188" t="str">
        <f>+CONCATENATE(Table_Query_from_MS_Access_Database_1[[#This Row],[RTE]],Table_Query_from_MS_Access_Database_1[[#This Row],[SEC]],Table_Query_from_MS_Access_Database_1[[#This Row],[SEQ]])</f>
        <v>SCT0225</v>
      </c>
      <c r="J109" s="185"/>
      <c r="K109" s="185">
        <v>42849</v>
      </c>
      <c r="L109" s="185">
        <v>42849</v>
      </c>
      <c r="M109" s="185">
        <v>42905</v>
      </c>
      <c r="N109" s="186"/>
      <c r="O109" s="186"/>
      <c r="P109" s="186">
        <v>-214.01</v>
      </c>
      <c r="Q109" s="186"/>
      <c r="R109" s="186"/>
      <c r="S109" s="186"/>
      <c r="T109" s="186"/>
      <c r="U109" s="186"/>
      <c r="V109" s="186"/>
      <c r="W109" s="186">
        <f>+SUM(Table_Query_from_MS_Access_Database_1[[#This Row],[CMAQ]:[TA OVER 200K]])</f>
        <v>-214.01</v>
      </c>
      <c r="X109" s="53">
        <f>X108-Table_Query_from_MS_Access_Database_1[TOTAL OF AMOUNT]</f>
        <v>81558326.049999982</v>
      </c>
    </row>
    <row r="110" spans="1:24" ht="26.4" x14ac:dyDescent="0.3">
      <c r="A110" s="208" t="s">
        <v>614</v>
      </c>
      <c r="B110" s="208" t="s">
        <v>615</v>
      </c>
      <c r="C110" s="209" t="s">
        <v>109</v>
      </c>
      <c r="D110" s="208" t="s">
        <v>9</v>
      </c>
      <c r="E110" s="208" t="s">
        <v>616</v>
      </c>
      <c r="F110" s="209" t="s">
        <v>514</v>
      </c>
      <c r="G110" s="209" t="s">
        <v>266</v>
      </c>
      <c r="H110" s="209" t="s">
        <v>349</v>
      </c>
      <c r="I110" s="209" t="str">
        <f>+CONCATENATE(Table_Query_from_MS_Access_Database_1[[#This Row],[RTE]],Table_Query_from_MS_Access_Database_1[[#This Row],[SEC]],Table_Query_from_MS_Access_Database_1[[#This Row],[SEQ]])</f>
        <v>202A203</v>
      </c>
      <c r="J110" s="210"/>
      <c r="K110" s="210">
        <v>42901</v>
      </c>
      <c r="L110" s="210">
        <v>42901</v>
      </c>
      <c r="M110" s="210">
        <v>42905</v>
      </c>
      <c r="N110" s="211"/>
      <c r="O110" s="211"/>
      <c r="P110" s="211"/>
      <c r="Q110" s="211"/>
      <c r="R110" s="211"/>
      <c r="S110" s="211"/>
      <c r="T110" s="211"/>
      <c r="U110" s="211"/>
      <c r="V110" s="211">
        <v>-120189.93</v>
      </c>
      <c r="W110" s="211">
        <f>+SUM(Table_Query_from_MS_Access_Database_1[[#This Row],[CMAQ]:[TA OVER 200K]])</f>
        <v>-120189.93</v>
      </c>
      <c r="X110" s="53">
        <f>X109-Table_Query_from_MS_Access_Database_1[TOTAL OF AMOUNT]</f>
        <v>81678515.979999989</v>
      </c>
    </row>
    <row r="111" spans="1:24" x14ac:dyDescent="0.3">
      <c r="A111" s="208" t="s">
        <v>550</v>
      </c>
      <c r="B111" s="208" t="s">
        <v>380</v>
      </c>
      <c r="C111" s="209" t="s">
        <v>198</v>
      </c>
      <c r="D111" s="208" t="s">
        <v>9</v>
      </c>
      <c r="E111" s="208" t="s">
        <v>381</v>
      </c>
      <c r="F111" s="209" t="s">
        <v>199</v>
      </c>
      <c r="G111" s="209" t="s">
        <v>106</v>
      </c>
      <c r="H111" s="209" t="s">
        <v>333</v>
      </c>
      <c r="I111" s="209" t="str">
        <f>+CONCATENATE(Table_Query_from_MS_Access_Database_1[[#This Row],[RTE]],Table_Query_from_MS_Access_Database_1[[#This Row],[SEC]],Table_Query_from_MS_Access_Database_1[[#This Row],[SEQ]])</f>
        <v>SCT0225</v>
      </c>
      <c r="J111" s="210"/>
      <c r="K111" s="210">
        <v>42849</v>
      </c>
      <c r="L111" s="210">
        <v>42849</v>
      </c>
      <c r="M111" s="210">
        <v>42905</v>
      </c>
      <c r="N111" s="211"/>
      <c r="O111" s="211"/>
      <c r="P111" s="211">
        <v>-614.65</v>
      </c>
      <c r="Q111" s="211"/>
      <c r="R111" s="211"/>
      <c r="S111" s="211"/>
      <c r="T111" s="211"/>
      <c r="U111" s="211"/>
      <c r="V111" s="211"/>
      <c r="W111" s="211">
        <f>+SUM(Table_Query_from_MS_Access_Database_1[[#This Row],[CMAQ]:[TA OVER 200K]])</f>
        <v>-614.65</v>
      </c>
      <c r="X111" s="53">
        <f>X110-Table_Query_from_MS_Access_Database_1[TOTAL OF AMOUNT]</f>
        <v>81679130.629999995</v>
      </c>
    </row>
    <row r="112" spans="1:24" ht="26.4" x14ac:dyDescent="0.3">
      <c r="A112" s="208" t="s">
        <v>283</v>
      </c>
      <c r="B112" s="208" t="s">
        <v>284</v>
      </c>
      <c r="C112" s="209" t="s">
        <v>140</v>
      </c>
      <c r="D112" s="208" t="s">
        <v>7</v>
      </c>
      <c r="E112" s="208" t="s">
        <v>285</v>
      </c>
      <c r="F112" s="209" t="s">
        <v>136</v>
      </c>
      <c r="G112" s="209" t="s">
        <v>106</v>
      </c>
      <c r="H112" s="209" t="s">
        <v>286</v>
      </c>
      <c r="I112" s="209" t="str">
        <f>+CONCATENATE(Table_Query_from_MS_Access_Database_1[[#This Row],[RTE]],Table_Query_from_MS_Access_Database_1[[#This Row],[SEC]],Table_Query_from_MS_Access_Database_1[[#This Row],[SEQ]])</f>
        <v>MMA0252</v>
      </c>
      <c r="J112" s="210">
        <v>42887</v>
      </c>
      <c r="K112" s="210">
        <v>42893</v>
      </c>
      <c r="L112" s="210">
        <v>42895</v>
      </c>
      <c r="M112" s="210">
        <v>42906</v>
      </c>
      <c r="N112" s="211">
        <v>462524</v>
      </c>
      <c r="O112" s="211"/>
      <c r="P112" s="211"/>
      <c r="Q112" s="211"/>
      <c r="R112" s="211"/>
      <c r="S112" s="211"/>
      <c r="T112" s="211"/>
      <c r="U112" s="211"/>
      <c r="V112" s="211"/>
      <c r="W112" s="211">
        <f>+SUM(Table_Query_from_MS_Access_Database_1[[#This Row],[CMAQ]:[TA OVER 200K]])</f>
        <v>462524</v>
      </c>
      <c r="X112" s="53">
        <f>X111-Table_Query_from_MS_Access_Database_1[TOTAL OF AMOUNT]</f>
        <v>81216606.629999995</v>
      </c>
    </row>
    <row r="113" spans="1:24" x14ac:dyDescent="0.3">
      <c r="A113" s="208" t="s">
        <v>295</v>
      </c>
      <c r="B113" s="208" t="s">
        <v>296</v>
      </c>
      <c r="C113" s="209" t="s">
        <v>297</v>
      </c>
      <c r="D113" s="208" t="s">
        <v>8</v>
      </c>
      <c r="E113" s="208" t="s">
        <v>298</v>
      </c>
      <c r="F113" s="209" t="s">
        <v>299</v>
      </c>
      <c r="G113" s="209" t="s">
        <v>106</v>
      </c>
      <c r="H113" s="209" t="s">
        <v>300</v>
      </c>
      <c r="I113" s="209" t="str">
        <f>+CONCATENATE(Table_Query_from_MS_Access_Database_1[[#This Row],[RTE]],Table_Query_from_MS_Access_Database_1[[#This Row],[SEC]],Table_Query_from_MS_Access_Database_1[[#This Row],[SEQ]])</f>
        <v>PPN0211</v>
      </c>
      <c r="J113" s="210"/>
      <c r="K113" s="210">
        <v>42891</v>
      </c>
      <c r="L113" s="210">
        <v>42902</v>
      </c>
      <c r="M113" s="210">
        <v>42907</v>
      </c>
      <c r="N113" s="211"/>
      <c r="O113" s="211">
        <v>-211475</v>
      </c>
      <c r="P113" s="211"/>
      <c r="Q113" s="211"/>
      <c r="R113" s="211"/>
      <c r="S113" s="211"/>
      <c r="T113" s="211"/>
      <c r="U113" s="211"/>
      <c r="V113" s="211"/>
      <c r="W113" s="211">
        <f>+SUM(Table_Query_from_MS_Access_Database_1[[#This Row],[CMAQ]:[TA OVER 200K]])</f>
        <v>-211475</v>
      </c>
      <c r="X113" s="53">
        <f>X112-Table_Query_from_MS_Access_Database_1[TOTAL OF AMOUNT]</f>
        <v>81428081.629999995</v>
      </c>
    </row>
    <row r="114" spans="1:24" ht="39.6" x14ac:dyDescent="0.3">
      <c r="A114" s="208" t="s">
        <v>483</v>
      </c>
      <c r="B114" s="208" t="s">
        <v>484</v>
      </c>
      <c r="C114" s="209" t="s">
        <v>195</v>
      </c>
      <c r="D114" s="208" t="s">
        <v>8</v>
      </c>
      <c r="E114" s="208" t="s">
        <v>485</v>
      </c>
      <c r="F114" s="209" t="s">
        <v>196</v>
      </c>
      <c r="G114" s="209" t="s">
        <v>106</v>
      </c>
      <c r="H114" s="209" t="s">
        <v>290</v>
      </c>
      <c r="I114" s="209" t="str">
        <f>+CONCATENATE(Table_Query_from_MS_Access_Database_1[[#This Row],[RTE]],Table_Query_from_MS_Access_Database_1[[#This Row],[SEC]],Table_Query_from_MS_Access_Database_1[[#This Row],[SEQ]])</f>
        <v>GLN0253</v>
      </c>
      <c r="J114" s="210">
        <v>42886</v>
      </c>
      <c r="K114" s="210">
        <v>42859</v>
      </c>
      <c r="L114" s="210">
        <v>42877</v>
      </c>
      <c r="M114" s="210">
        <v>42907</v>
      </c>
      <c r="N114" s="211">
        <v>37856</v>
      </c>
      <c r="O114" s="211"/>
      <c r="P114" s="211"/>
      <c r="Q114" s="211"/>
      <c r="R114" s="211"/>
      <c r="S114" s="211"/>
      <c r="T114" s="211"/>
      <c r="U114" s="211"/>
      <c r="V114" s="211"/>
      <c r="W114" s="211">
        <f>+SUM(Table_Query_from_MS_Access_Database_1[[#This Row],[CMAQ]:[TA OVER 200K]])</f>
        <v>37856</v>
      </c>
      <c r="X114" s="53">
        <f>X113-Table_Query_from_MS_Access_Database_1[TOTAL OF AMOUNT]</f>
        <v>81390225.629999995</v>
      </c>
    </row>
    <row r="115" spans="1:24" x14ac:dyDescent="0.3">
      <c r="A115" s="208" t="s">
        <v>338</v>
      </c>
      <c r="B115" s="208" t="s">
        <v>339</v>
      </c>
      <c r="C115" s="209" t="s">
        <v>195</v>
      </c>
      <c r="D115" s="208" t="s">
        <v>7</v>
      </c>
      <c r="E115" s="208" t="s">
        <v>520</v>
      </c>
      <c r="F115" s="209" t="s">
        <v>196</v>
      </c>
      <c r="G115" s="209" t="s">
        <v>106</v>
      </c>
      <c r="H115" s="209" t="s">
        <v>521</v>
      </c>
      <c r="I115" s="209" t="str">
        <f>+CONCATENATE(Table_Query_from_MS_Access_Database_1[[#This Row],[RTE]],Table_Query_from_MS_Access_Database_1[[#This Row],[SEC]],Table_Query_from_MS_Access_Database_1[[#This Row],[SEQ]])</f>
        <v>GLN0258</v>
      </c>
      <c r="J115" s="210">
        <v>42856</v>
      </c>
      <c r="K115" s="210">
        <v>42860</v>
      </c>
      <c r="L115" s="210">
        <v>42901</v>
      </c>
      <c r="M115" s="210">
        <v>42908</v>
      </c>
      <c r="N115" s="211"/>
      <c r="O115" s="211"/>
      <c r="P115" s="211"/>
      <c r="Q115" s="211"/>
      <c r="R115" s="211"/>
      <c r="S115" s="211"/>
      <c r="T115" s="211"/>
      <c r="U115" s="211"/>
      <c r="V115" s="211">
        <v>43811</v>
      </c>
      <c r="W115" s="211">
        <f>+SUM(Table_Query_from_MS_Access_Database_1[[#This Row],[CMAQ]:[TA OVER 200K]])</f>
        <v>43811</v>
      </c>
      <c r="X115" s="53">
        <f>X114-Table_Query_from_MS_Access_Database_1[TOTAL OF AMOUNT]</f>
        <v>81346414.629999995</v>
      </c>
    </row>
    <row r="116" spans="1:24" x14ac:dyDescent="0.3">
      <c r="A116" s="193" t="s">
        <v>617</v>
      </c>
      <c r="B116" s="193" t="s">
        <v>618</v>
      </c>
      <c r="C116" s="194" t="s">
        <v>107</v>
      </c>
      <c r="D116" s="193" t="s">
        <v>9</v>
      </c>
      <c r="E116" s="193" t="s">
        <v>619</v>
      </c>
      <c r="F116" s="194" t="s">
        <v>108</v>
      </c>
      <c r="G116" s="194" t="s">
        <v>106</v>
      </c>
      <c r="H116" s="194" t="s">
        <v>620</v>
      </c>
      <c r="I116" s="194" t="str">
        <f>+CONCATENATE(Table_Query_from_MS_Access_Database_1[[#This Row],[RTE]],Table_Query_from_MS_Access_Database_1[[#This Row],[SEC]],Table_Query_from_MS_Access_Database_1[[#This Row],[SEQ]])</f>
        <v>PHX0291</v>
      </c>
      <c r="J116" s="195"/>
      <c r="K116" s="195">
        <v>42908</v>
      </c>
      <c r="L116" s="195">
        <v>42908</v>
      </c>
      <c r="M116" s="195">
        <v>42912</v>
      </c>
      <c r="N116" s="196">
        <v>-188768.84</v>
      </c>
      <c r="O116" s="196"/>
      <c r="P116" s="196"/>
      <c r="Q116" s="196"/>
      <c r="R116" s="196"/>
      <c r="S116" s="196"/>
      <c r="T116" s="196"/>
      <c r="U116" s="196"/>
      <c r="V116" s="196"/>
      <c r="W116" s="196">
        <f>+SUM(Table_Query_from_MS_Access_Database_1[[#This Row],[CMAQ]:[TA OVER 200K]])</f>
        <v>-188768.84</v>
      </c>
      <c r="X116" s="53">
        <f>X115-Table_Query_from_MS_Access_Database_1[TOTAL OF AMOUNT]</f>
        <v>81535183.469999999</v>
      </c>
    </row>
    <row r="117" spans="1:24" ht="26.4" x14ac:dyDescent="0.3">
      <c r="A117" s="208" t="s">
        <v>621</v>
      </c>
      <c r="B117" s="208" t="s">
        <v>622</v>
      </c>
      <c r="C117" s="209" t="s">
        <v>173</v>
      </c>
      <c r="D117" s="208" t="s">
        <v>9</v>
      </c>
      <c r="E117" s="208" t="s">
        <v>623</v>
      </c>
      <c r="F117" s="209" t="s">
        <v>174</v>
      </c>
      <c r="G117" s="209" t="s">
        <v>106</v>
      </c>
      <c r="H117" s="209" t="s">
        <v>431</v>
      </c>
      <c r="I117" s="209" t="str">
        <f>+CONCATENATE(Table_Query_from_MS_Access_Database_1[[#This Row],[RTE]],Table_Query_from_MS_Access_Database_1[[#This Row],[SEC]],Table_Query_from_MS_Access_Database_1[[#This Row],[SEQ]])</f>
        <v>PE00218</v>
      </c>
      <c r="J117" s="210"/>
      <c r="K117" s="210">
        <v>42908</v>
      </c>
      <c r="L117" s="210">
        <v>42908</v>
      </c>
      <c r="M117" s="210">
        <v>42912</v>
      </c>
      <c r="N117" s="211">
        <v>-126133.1</v>
      </c>
      <c r="O117" s="211"/>
      <c r="P117" s="211"/>
      <c r="Q117" s="211"/>
      <c r="R117" s="211"/>
      <c r="S117" s="211"/>
      <c r="T117" s="211"/>
      <c r="U117" s="211"/>
      <c r="V117" s="211"/>
      <c r="W117" s="211">
        <f>+SUM(Table_Query_from_MS_Access_Database_1[[#This Row],[CMAQ]:[TA OVER 200K]])</f>
        <v>-126133.1</v>
      </c>
      <c r="X117" s="53">
        <f>X116-Table_Query_from_MS_Access_Database_1[TOTAL OF AMOUNT]</f>
        <v>81661316.569999993</v>
      </c>
    </row>
    <row r="118" spans="1:24" ht="26.4" x14ac:dyDescent="0.3">
      <c r="A118" s="208" t="s">
        <v>522</v>
      </c>
      <c r="B118" s="208" t="s">
        <v>523</v>
      </c>
      <c r="C118" s="209" t="s">
        <v>176</v>
      </c>
      <c r="D118" s="208" t="s">
        <v>8</v>
      </c>
      <c r="E118" s="208" t="s">
        <v>524</v>
      </c>
      <c r="F118" s="209" t="s">
        <v>177</v>
      </c>
      <c r="G118" s="209" t="s">
        <v>106</v>
      </c>
      <c r="H118" s="209" t="s">
        <v>282</v>
      </c>
      <c r="I118" s="209" t="str">
        <f>+CONCATENATE(Table_Query_from_MS_Access_Database_1[[#This Row],[RTE]],Table_Query_from_MS_Access_Database_1[[#This Row],[SEC]],Table_Query_from_MS_Access_Database_1[[#This Row],[SEQ]])</f>
        <v>BKY0210</v>
      </c>
      <c r="J118" s="210"/>
      <c r="K118" s="210">
        <v>42881</v>
      </c>
      <c r="L118" s="210">
        <v>42909</v>
      </c>
      <c r="M118" s="210">
        <v>42912</v>
      </c>
      <c r="N118" s="211">
        <v>639.85</v>
      </c>
      <c r="O118" s="211"/>
      <c r="P118" s="211"/>
      <c r="Q118" s="211"/>
      <c r="R118" s="211"/>
      <c r="S118" s="211"/>
      <c r="T118" s="211"/>
      <c r="U118" s="211"/>
      <c r="V118" s="211"/>
      <c r="W118" s="211">
        <f>+SUM(Table_Query_from_MS_Access_Database_1[[#This Row],[CMAQ]:[TA OVER 200K]])</f>
        <v>639.85</v>
      </c>
      <c r="X118" s="53">
        <f>X117-Table_Query_from_MS_Access_Database_1[TOTAL OF AMOUNT]</f>
        <v>81660676.719999999</v>
      </c>
    </row>
    <row r="119" spans="1:24" ht="26.4" x14ac:dyDescent="0.3">
      <c r="A119" s="208" t="s">
        <v>291</v>
      </c>
      <c r="B119" s="208" t="s">
        <v>292</v>
      </c>
      <c r="C119" s="209" t="s">
        <v>140</v>
      </c>
      <c r="D119" s="208" t="s">
        <v>7</v>
      </c>
      <c r="E119" s="208" t="s">
        <v>293</v>
      </c>
      <c r="F119" s="209" t="s">
        <v>136</v>
      </c>
      <c r="G119" s="209" t="s">
        <v>106</v>
      </c>
      <c r="H119" s="209" t="s">
        <v>294</v>
      </c>
      <c r="I119" s="209" t="str">
        <f>+CONCATENATE(Table_Query_from_MS_Access_Database_1[[#This Row],[RTE]],Table_Query_from_MS_Access_Database_1[[#This Row],[SEC]],Table_Query_from_MS_Access_Database_1[[#This Row],[SEQ]])</f>
        <v>MMA0254</v>
      </c>
      <c r="J119" s="210">
        <v>42887</v>
      </c>
      <c r="K119" s="210">
        <v>42900</v>
      </c>
      <c r="L119" s="210">
        <v>42905</v>
      </c>
      <c r="M119" s="210">
        <v>42914</v>
      </c>
      <c r="N119" s="211">
        <v>792120</v>
      </c>
      <c r="O119" s="211"/>
      <c r="P119" s="211"/>
      <c r="Q119" s="211"/>
      <c r="R119" s="211"/>
      <c r="S119" s="211"/>
      <c r="T119" s="211"/>
      <c r="U119" s="211"/>
      <c r="V119" s="211"/>
      <c r="W119" s="211">
        <f>+SUM(Table_Query_from_MS_Access_Database_1[[#This Row],[CMAQ]:[TA OVER 200K]])</f>
        <v>792120</v>
      </c>
      <c r="X119" s="53">
        <f>X118-Table_Query_from_MS_Access_Database_1[TOTAL OF AMOUNT]</f>
        <v>80868556.719999999</v>
      </c>
    </row>
    <row r="120" spans="1:24" ht="26.4" x14ac:dyDescent="0.3">
      <c r="A120" s="208" t="s">
        <v>554</v>
      </c>
      <c r="B120" s="208" t="s">
        <v>510</v>
      </c>
      <c r="C120" s="209" t="s">
        <v>140</v>
      </c>
      <c r="D120" s="208" t="s">
        <v>7</v>
      </c>
      <c r="E120" s="208" t="s">
        <v>555</v>
      </c>
      <c r="F120" s="209" t="s">
        <v>136</v>
      </c>
      <c r="G120" s="209" t="s">
        <v>106</v>
      </c>
      <c r="H120" s="209" t="s">
        <v>596</v>
      </c>
      <c r="I120" s="209" t="str">
        <f>+CONCATENATE(Table_Query_from_MS_Access_Database_1[[#This Row],[RTE]],Table_Query_from_MS_Access_Database_1[[#This Row],[SEC]],Table_Query_from_MS_Access_Database_1[[#This Row],[SEQ]])</f>
        <v>MMA0274</v>
      </c>
      <c r="J120" s="210">
        <v>42887</v>
      </c>
      <c r="K120" s="210">
        <v>42867</v>
      </c>
      <c r="L120" s="210">
        <v>42894</v>
      </c>
      <c r="M120" s="210">
        <v>42914</v>
      </c>
      <c r="N120" s="211"/>
      <c r="O120" s="211"/>
      <c r="P120" s="211"/>
      <c r="Q120" s="211"/>
      <c r="R120" s="211"/>
      <c r="S120" s="211"/>
      <c r="T120" s="211">
        <v>943000</v>
      </c>
      <c r="U120" s="211"/>
      <c r="V120" s="211"/>
      <c r="W120" s="211">
        <f>+SUM(Table_Query_from_MS_Access_Database_1[[#This Row],[CMAQ]:[TA OVER 200K]])</f>
        <v>943000</v>
      </c>
      <c r="X120" s="53">
        <f>X119-Table_Query_from_MS_Access_Database_1[TOTAL OF AMOUNT]</f>
        <v>79925556.719999999</v>
      </c>
    </row>
    <row r="121" spans="1:24" ht="26.4" x14ac:dyDescent="0.3">
      <c r="A121" s="187" t="s">
        <v>342</v>
      </c>
      <c r="B121" s="187" t="s">
        <v>343</v>
      </c>
      <c r="C121" s="188" t="s">
        <v>195</v>
      </c>
      <c r="D121" s="187" t="s">
        <v>7</v>
      </c>
      <c r="E121" s="187" t="s">
        <v>344</v>
      </c>
      <c r="F121" s="188" t="s">
        <v>196</v>
      </c>
      <c r="G121" s="188" t="s">
        <v>106</v>
      </c>
      <c r="H121" s="188" t="s">
        <v>502</v>
      </c>
      <c r="I121" s="188" t="str">
        <f>+CONCATENATE(Table_Query_from_MS_Access_Database_1[[#This Row],[RTE]],Table_Query_from_MS_Access_Database_1[[#This Row],[SEC]],Table_Query_from_MS_Access_Database_1[[#This Row],[SEQ]])</f>
        <v>GLN0259</v>
      </c>
      <c r="J121" s="185">
        <v>42826</v>
      </c>
      <c r="K121" s="185">
        <v>42877</v>
      </c>
      <c r="L121" s="185">
        <v>42913</v>
      </c>
      <c r="M121" s="185">
        <v>42915</v>
      </c>
      <c r="N121" s="186"/>
      <c r="O121" s="186"/>
      <c r="P121" s="186">
        <v>288000</v>
      </c>
      <c r="Q121" s="186"/>
      <c r="R121" s="186"/>
      <c r="S121" s="186"/>
      <c r="T121" s="186"/>
      <c r="U121" s="186"/>
      <c r="V121" s="186"/>
      <c r="W121" s="186">
        <f>+SUM(Table_Query_from_MS_Access_Database_1[[#This Row],[CMAQ]:[TA OVER 200K]])</f>
        <v>288000</v>
      </c>
      <c r="X121" s="53">
        <f>X120-Table_Query_from_MS_Access_Database_1[TOTAL OF AMOUNT]</f>
        <v>79637556.719999999</v>
      </c>
    </row>
    <row r="122" spans="1:24" ht="26.4" x14ac:dyDescent="0.3">
      <c r="A122" s="193" t="s">
        <v>603</v>
      </c>
      <c r="B122" s="193" t="s">
        <v>624</v>
      </c>
      <c r="C122" s="194" t="s">
        <v>109</v>
      </c>
      <c r="D122" s="193" t="s">
        <v>7</v>
      </c>
      <c r="E122" s="193" t="s">
        <v>604</v>
      </c>
      <c r="F122" s="194" t="s">
        <v>549</v>
      </c>
      <c r="G122" s="194" t="s">
        <v>266</v>
      </c>
      <c r="H122" s="194" t="s">
        <v>223</v>
      </c>
      <c r="I122" s="194" t="str">
        <f>+CONCATENATE(Table_Query_from_MS_Access_Database_1[[#This Row],[RTE]],Table_Query_from_MS_Access_Database_1[[#This Row],[SEC]],Table_Query_from_MS_Access_Database_1[[#This Row],[SEQ]])</f>
        <v>347A204</v>
      </c>
      <c r="J122" s="195">
        <v>42916</v>
      </c>
      <c r="K122" s="195">
        <v>42901</v>
      </c>
      <c r="L122" s="195">
        <v>42902</v>
      </c>
      <c r="M122" s="195">
        <v>42915</v>
      </c>
      <c r="N122" s="196">
        <v>295417</v>
      </c>
      <c r="O122" s="196"/>
      <c r="P122" s="196"/>
      <c r="Q122" s="196"/>
      <c r="R122" s="196"/>
      <c r="S122" s="196"/>
      <c r="T122" s="196"/>
      <c r="U122" s="196"/>
      <c r="V122" s="196"/>
      <c r="W122" s="196">
        <f>+SUM(Table_Query_from_MS_Access_Database_1[[#This Row],[CMAQ]:[TA OVER 200K]])</f>
        <v>295417</v>
      </c>
      <c r="X122" s="53">
        <f>X121-Table_Query_from_MS_Access_Database_1[TOTAL OF AMOUNT]</f>
        <v>79342139.719999999</v>
      </c>
    </row>
    <row r="123" spans="1:24" ht="26.4" x14ac:dyDescent="0.3">
      <c r="A123" s="208" t="s">
        <v>250</v>
      </c>
      <c r="B123" s="208" t="s">
        <v>249</v>
      </c>
      <c r="C123" s="209" t="s">
        <v>190</v>
      </c>
      <c r="D123" s="208" t="s">
        <v>8</v>
      </c>
      <c r="E123" s="208" t="s">
        <v>591</v>
      </c>
      <c r="F123" s="209" t="s">
        <v>191</v>
      </c>
      <c r="G123" s="209" t="s">
        <v>106</v>
      </c>
      <c r="H123" s="209" t="s">
        <v>194</v>
      </c>
      <c r="I123" s="209" t="str">
        <f>+CONCATENATE(Table_Query_from_MS_Access_Database_1[[#This Row],[RTE]],Table_Query_from_MS_Access_Database_1[[#This Row],[SEC]],Table_Query_from_MS_Access_Database_1[[#This Row],[SEQ]])</f>
        <v>AVN0223</v>
      </c>
      <c r="J123" s="210">
        <v>42917</v>
      </c>
      <c r="K123" s="210">
        <v>42902</v>
      </c>
      <c r="L123" s="210">
        <v>42914</v>
      </c>
      <c r="M123" s="210">
        <v>42915</v>
      </c>
      <c r="N123" s="211"/>
      <c r="O123" s="211"/>
      <c r="P123" s="211">
        <v>45000</v>
      </c>
      <c r="Q123" s="211"/>
      <c r="R123" s="211"/>
      <c r="S123" s="211"/>
      <c r="T123" s="211"/>
      <c r="U123" s="211"/>
      <c r="V123" s="211"/>
      <c r="W123" s="211">
        <f>+SUM(Table_Query_from_MS_Access_Database_1[[#This Row],[CMAQ]:[TA OVER 200K]])</f>
        <v>45000</v>
      </c>
      <c r="X123" s="53">
        <f>X122-Table_Query_from_MS_Access_Database_1[TOTAL OF AMOUNT]</f>
        <v>79297139.719999999</v>
      </c>
    </row>
    <row r="124" spans="1:24" x14ac:dyDescent="0.3">
      <c r="A124" s="208" t="s">
        <v>229</v>
      </c>
      <c r="B124" s="208" t="s">
        <v>230</v>
      </c>
      <c r="C124" s="209" t="s">
        <v>195</v>
      </c>
      <c r="D124" s="208" t="s">
        <v>7</v>
      </c>
      <c r="E124" s="208" t="s">
        <v>231</v>
      </c>
      <c r="F124" s="209" t="s">
        <v>196</v>
      </c>
      <c r="G124" s="209" t="s">
        <v>106</v>
      </c>
      <c r="H124" s="209" t="s">
        <v>185</v>
      </c>
      <c r="I124" s="209" t="str">
        <f>+CONCATENATE(Table_Query_from_MS_Access_Database_1[[#This Row],[RTE]],Table_Query_from_MS_Access_Database_1[[#This Row],[SEC]],Table_Query_from_MS_Access_Database_1[[#This Row],[SEQ]])</f>
        <v>GLN0244</v>
      </c>
      <c r="J124" s="210">
        <v>42888</v>
      </c>
      <c r="K124" s="210">
        <v>42901</v>
      </c>
      <c r="L124" s="210">
        <v>42902</v>
      </c>
      <c r="M124" s="210">
        <v>42915</v>
      </c>
      <c r="N124" s="211">
        <v>159267</v>
      </c>
      <c r="O124" s="211"/>
      <c r="P124" s="211"/>
      <c r="Q124" s="211"/>
      <c r="R124" s="211"/>
      <c r="S124" s="211"/>
      <c r="T124" s="211"/>
      <c r="U124" s="211"/>
      <c r="V124" s="211"/>
      <c r="W124" s="211">
        <f>+SUM(Table_Query_from_MS_Access_Database_1[[#This Row],[CMAQ]:[TA OVER 200K]])</f>
        <v>159267</v>
      </c>
      <c r="X124" s="53">
        <f>X123-Table_Query_from_MS_Access_Database_1[TOTAL OF AMOUNT]</f>
        <v>79137872.719999999</v>
      </c>
    </row>
    <row r="125" spans="1:24" x14ac:dyDescent="0.3">
      <c r="A125" s="208" t="s">
        <v>232</v>
      </c>
      <c r="B125" s="208" t="s">
        <v>233</v>
      </c>
      <c r="C125" s="209" t="s">
        <v>195</v>
      </c>
      <c r="D125" s="208" t="s">
        <v>21</v>
      </c>
      <c r="E125" s="208" t="s">
        <v>234</v>
      </c>
      <c r="F125" s="209" t="s">
        <v>196</v>
      </c>
      <c r="G125" s="209" t="s">
        <v>106</v>
      </c>
      <c r="H125" s="209" t="s">
        <v>215</v>
      </c>
      <c r="I125" s="209" t="str">
        <f>+CONCATENATE(Table_Query_from_MS_Access_Database_1[[#This Row],[RTE]],Table_Query_from_MS_Access_Database_1[[#This Row],[SEC]],Table_Query_from_MS_Access_Database_1[[#This Row],[SEQ]])</f>
        <v>GLN0248</v>
      </c>
      <c r="J125" s="210"/>
      <c r="K125" s="210">
        <v>42909</v>
      </c>
      <c r="L125" s="210">
        <v>42909</v>
      </c>
      <c r="M125" s="210">
        <v>42921</v>
      </c>
      <c r="N125" s="211">
        <v>-495704</v>
      </c>
      <c r="O125" s="211"/>
      <c r="P125" s="211"/>
      <c r="Q125" s="211"/>
      <c r="R125" s="211"/>
      <c r="S125" s="211"/>
      <c r="T125" s="211"/>
      <c r="U125" s="211"/>
      <c r="V125" s="211"/>
      <c r="W125" s="211">
        <f>+SUM(Table_Query_from_MS_Access_Database_1[[#This Row],[CMAQ]:[TA OVER 200K]])</f>
        <v>-495704</v>
      </c>
      <c r="X125" s="53">
        <f>X124-Table_Query_from_MS_Access_Database_1[TOTAL OF AMOUNT]</f>
        <v>79633576.719999999</v>
      </c>
    </row>
    <row r="126" spans="1:24" x14ac:dyDescent="0.3">
      <c r="A126" s="208" t="s">
        <v>610</v>
      </c>
      <c r="B126" s="208" t="s">
        <v>611</v>
      </c>
      <c r="C126" s="209" t="s">
        <v>107</v>
      </c>
      <c r="D126" s="208" t="s">
        <v>23</v>
      </c>
      <c r="E126" s="208" t="s">
        <v>608</v>
      </c>
      <c r="F126" s="209" t="s">
        <v>108</v>
      </c>
      <c r="G126" s="209" t="s">
        <v>106</v>
      </c>
      <c r="H126" s="209" t="s">
        <v>609</v>
      </c>
      <c r="I126" s="209" t="str">
        <f>+CONCATENATE(Table_Query_from_MS_Access_Database_1[[#This Row],[RTE]],Table_Query_from_MS_Access_Database_1[[#This Row],[SEC]],Table_Query_from_MS_Access_Database_1[[#This Row],[SEQ]])</f>
        <v>PHX0287</v>
      </c>
      <c r="J126" s="210"/>
      <c r="K126" s="210">
        <v>42895</v>
      </c>
      <c r="L126" s="210">
        <v>42921</v>
      </c>
      <c r="M126" s="210">
        <v>42922</v>
      </c>
      <c r="N126" s="211">
        <v>-50000</v>
      </c>
      <c r="O126" s="211"/>
      <c r="P126" s="211"/>
      <c r="Q126" s="211"/>
      <c r="R126" s="211"/>
      <c r="S126" s="211"/>
      <c r="T126" s="211"/>
      <c r="U126" s="211"/>
      <c r="V126" s="211"/>
      <c r="W126" s="211">
        <f>+SUM(Table_Query_from_MS_Access_Database_1[[#This Row],[CMAQ]:[TA OVER 200K]])</f>
        <v>-50000</v>
      </c>
      <c r="X126" s="53">
        <f>X125-Table_Query_from_MS_Access_Database_1[TOTAL OF AMOUNT]</f>
        <v>79683576.719999999</v>
      </c>
    </row>
    <row r="127" spans="1:24" x14ac:dyDescent="0.3">
      <c r="A127" s="208" t="s">
        <v>606</v>
      </c>
      <c r="B127" s="208" t="s">
        <v>607</v>
      </c>
      <c r="C127" s="209" t="s">
        <v>107</v>
      </c>
      <c r="D127" s="208" t="s">
        <v>23</v>
      </c>
      <c r="E127" s="208" t="s">
        <v>608</v>
      </c>
      <c r="F127" s="209" t="s">
        <v>108</v>
      </c>
      <c r="G127" s="209" t="s">
        <v>106</v>
      </c>
      <c r="H127" s="209" t="s">
        <v>609</v>
      </c>
      <c r="I127" s="209" t="str">
        <f>+CONCATENATE(Table_Query_from_MS_Access_Database_1[[#This Row],[RTE]],Table_Query_from_MS_Access_Database_1[[#This Row],[SEC]],Table_Query_from_MS_Access_Database_1[[#This Row],[SEQ]])</f>
        <v>PHX0287</v>
      </c>
      <c r="J127" s="210"/>
      <c r="K127" s="210">
        <v>42895</v>
      </c>
      <c r="L127" s="210">
        <v>42921</v>
      </c>
      <c r="M127" s="210">
        <v>42922</v>
      </c>
      <c r="N127" s="211">
        <v>-1232662</v>
      </c>
      <c r="O127" s="211"/>
      <c r="P127" s="211"/>
      <c r="Q127" s="211"/>
      <c r="R127" s="211"/>
      <c r="S127" s="211"/>
      <c r="T127" s="211"/>
      <c r="U127" s="211"/>
      <c r="V127" s="211"/>
      <c r="W127" s="211">
        <f>+SUM(Table_Query_from_MS_Access_Database_1[[#This Row],[CMAQ]:[TA OVER 200K]])</f>
        <v>-1232662</v>
      </c>
      <c r="X127" s="53">
        <f>X126-Table_Query_from_MS_Access_Database_1[TOTAL OF AMOUNT]</f>
        <v>80916238.719999999</v>
      </c>
    </row>
    <row r="128" spans="1:24" ht="26.4" x14ac:dyDescent="0.3">
      <c r="A128" s="208" t="s">
        <v>235</v>
      </c>
      <c r="B128" s="208" t="s">
        <v>236</v>
      </c>
      <c r="C128" s="209" t="s">
        <v>195</v>
      </c>
      <c r="D128" s="208" t="s">
        <v>21</v>
      </c>
      <c r="E128" s="208" t="s">
        <v>237</v>
      </c>
      <c r="F128" s="209" t="s">
        <v>196</v>
      </c>
      <c r="G128" s="209" t="s">
        <v>106</v>
      </c>
      <c r="H128" s="209" t="s">
        <v>216</v>
      </c>
      <c r="I128" s="209" t="str">
        <f>+CONCATENATE(Table_Query_from_MS_Access_Database_1[[#This Row],[RTE]],Table_Query_from_MS_Access_Database_1[[#This Row],[SEC]],Table_Query_from_MS_Access_Database_1[[#This Row],[SEQ]])</f>
        <v>GLN0249</v>
      </c>
      <c r="J128" s="210"/>
      <c r="K128" s="210">
        <v>42919</v>
      </c>
      <c r="L128" s="210">
        <v>42927</v>
      </c>
      <c r="M128" s="210">
        <v>42927</v>
      </c>
      <c r="N128" s="211">
        <v>-24750</v>
      </c>
      <c r="O128" s="211"/>
      <c r="P128" s="211"/>
      <c r="Q128" s="211"/>
      <c r="R128" s="211"/>
      <c r="S128" s="211"/>
      <c r="T128" s="211"/>
      <c r="U128" s="211"/>
      <c r="V128" s="211"/>
      <c r="W128" s="211">
        <f>+SUM(Table_Query_from_MS_Access_Database_1[[#This Row],[CMAQ]:[TA OVER 200K]])</f>
        <v>-24750</v>
      </c>
      <c r="X128" s="53">
        <f>X127-Table_Query_from_MS_Access_Database_1[TOTAL OF AMOUNT]</f>
        <v>80940988.719999999</v>
      </c>
    </row>
    <row r="129" spans="1:24" ht="26.4" x14ac:dyDescent="0.3">
      <c r="A129" s="193" t="s">
        <v>248</v>
      </c>
      <c r="B129" s="193" t="s">
        <v>251</v>
      </c>
      <c r="C129" s="194" t="s">
        <v>190</v>
      </c>
      <c r="D129" s="193" t="s">
        <v>7</v>
      </c>
      <c r="E129" s="193" t="s">
        <v>590</v>
      </c>
      <c r="F129" s="194" t="s">
        <v>191</v>
      </c>
      <c r="G129" s="194" t="s">
        <v>106</v>
      </c>
      <c r="H129" s="194" t="s">
        <v>194</v>
      </c>
      <c r="I129" s="194" t="str">
        <f>+CONCATENATE(Table_Query_from_MS_Access_Database_1[[#This Row],[RTE]],Table_Query_from_MS_Access_Database_1[[#This Row],[SEC]],Table_Query_from_MS_Access_Database_1[[#This Row],[SEQ]])</f>
        <v>AVN0223</v>
      </c>
      <c r="J129" s="195">
        <v>42977</v>
      </c>
      <c r="K129" s="195">
        <v>42915</v>
      </c>
      <c r="L129" s="195">
        <v>42921</v>
      </c>
      <c r="M129" s="195">
        <v>42929</v>
      </c>
      <c r="N129" s="196"/>
      <c r="O129" s="196"/>
      <c r="P129" s="196">
        <v>174300</v>
      </c>
      <c r="Q129" s="196"/>
      <c r="R129" s="196"/>
      <c r="S129" s="196"/>
      <c r="T129" s="196"/>
      <c r="U129" s="196"/>
      <c r="V129" s="196"/>
      <c r="W129" s="196">
        <f>+SUM(Table_Query_from_MS_Access_Database_1[[#This Row],[CMAQ]:[TA OVER 200K]])</f>
        <v>174300</v>
      </c>
      <c r="X129" s="53">
        <f>X128-Table_Query_from_MS_Access_Database_1[TOTAL OF AMOUNT]</f>
        <v>80766688.719999999</v>
      </c>
    </row>
    <row r="130" spans="1:24" ht="26.4" x14ac:dyDescent="0.3">
      <c r="A130" s="187" t="s">
        <v>628</v>
      </c>
      <c r="B130" s="187" t="s">
        <v>626</v>
      </c>
      <c r="C130" s="188" t="s">
        <v>491</v>
      </c>
      <c r="D130" s="187" t="s">
        <v>23</v>
      </c>
      <c r="E130" s="187" t="s">
        <v>627</v>
      </c>
      <c r="F130" s="188" t="s">
        <v>493</v>
      </c>
      <c r="G130" s="188" t="s">
        <v>106</v>
      </c>
      <c r="H130" s="188" t="s">
        <v>139</v>
      </c>
      <c r="I130" s="188" t="str">
        <f>+CONCATENATE(Table_Query_from_MS_Access_Database_1[[#This Row],[RTE]],Table_Query_from_MS_Access_Database_1[[#This Row],[SEC]],Table_Query_from_MS_Access_Database_1[[#This Row],[SEQ]])</f>
        <v>APJ0212</v>
      </c>
      <c r="J130" s="185"/>
      <c r="K130" s="185">
        <v>42914</v>
      </c>
      <c r="L130" s="185"/>
      <c r="M130" s="185">
        <v>42936</v>
      </c>
      <c r="N130" s="186">
        <v>9703</v>
      </c>
      <c r="O130" s="186"/>
      <c r="P130" s="186"/>
      <c r="Q130" s="186"/>
      <c r="R130" s="186"/>
      <c r="S130" s="186"/>
      <c r="T130" s="186"/>
      <c r="U130" s="186"/>
      <c r="V130" s="186"/>
      <c r="W130" s="186">
        <f>+SUM(Table_Query_from_MS_Access_Database_1[[#This Row],[CMAQ]:[TA OVER 200K]])</f>
        <v>9703</v>
      </c>
      <c r="X130" s="53">
        <f>X129-Table_Query_from_MS_Access_Database_1[TOTAL OF AMOUNT]</f>
        <v>80756985.719999999</v>
      </c>
    </row>
    <row r="131" spans="1:24" ht="26.4" x14ac:dyDescent="0.3">
      <c r="A131" s="187" t="s">
        <v>625</v>
      </c>
      <c r="B131" s="187" t="s">
        <v>626</v>
      </c>
      <c r="C131" s="188" t="s">
        <v>491</v>
      </c>
      <c r="D131" s="187" t="s">
        <v>23</v>
      </c>
      <c r="E131" s="187" t="s">
        <v>627</v>
      </c>
      <c r="F131" s="188" t="s">
        <v>493</v>
      </c>
      <c r="G131" s="188" t="s">
        <v>106</v>
      </c>
      <c r="H131" s="188" t="s">
        <v>139</v>
      </c>
      <c r="I131" s="188" t="str">
        <f>+CONCATENATE(Table_Query_from_MS_Access_Database_1[[#This Row],[RTE]],Table_Query_from_MS_Access_Database_1[[#This Row],[SEC]],Table_Query_from_MS_Access_Database_1[[#This Row],[SEQ]])</f>
        <v>APJ0212</v>
      </c>
      <c r="J131" s="185"/>
      <c r="K131" s="185">
        <v>42914</v>
      </c>
      <c r="L131" s="185"/>
      <c r="M131" s="185">
        <v>42936</v>
      </c>
      <c r="N131" s="186">
        <v>-9703</v>
      </c>
      <c r="O131" s="186"/>
      <c r="P131" s="186"/>
      <c r="Q131" s="186"/>
      <c r="R131" s="186"/>
      <c r="S131" s="186"/>
      <c r="T131" s="186"/>
      <c r="U131" s="186"/>
      <c r="V131" s="186"/>
      <c r="W131" s="186">
        <f>+SUM(Table_Query_from_MS_Access_Database_1[[#This Row],[CMAQ]:[TA OVER 200K]])</f>
        <v>-9703</v>
      </c>
      <c r="X131" s="53">
        <f>X130-Table_Query_from_MS_Access_Database_1[TOTAL OF AMOUNT]</f>
        <v>80766688.719999999</v>
      </c>
    </row>
    <row r="132" spans="1:24" ht="26.4" x14ac:dyDescent="0.3">
      <c r="A132" s="191" t="s">
        <v>489</v>
      </c>
      <c r="B132" s="191" t="s">
        <v>490</v>
      </c>
      <c r="C132" s="192" t="s">
        <v>491</v>
      </c>
      <c r="D132" s="191" t="s">
        <v>7</v>
      </c>
      <c r="E132" s="191" t="s">
        <v>492</v>
      </c>
      <c r="F132" s="192" t="s">
        <v>493</v>
      </c>
      <c r="G132" s="192" t="s">
        <v>106</v>
      </c>
      <c r="H132" s="192" t="s">
        <v>187</v>
      </c>
      <c r="I132" s="192" t="str">
        <f>+CONCATENATE(Table_Query_from_MS_Access_Database_1[[#This Row],[RTE]],Table_Query_from_MS_Access_Database_1[[#This Row],[SEC]],Table_Query_from_MS_Access_Database_1[[#This Row],[SEQ]])</f>
        <v>APJ0215</v>
      </c>
      <c r="J132" s="189">
        <v>42887</v>
      </c>
      <c r="K132" s="189">
        <v>42886</v>
      </c>
      <c r="L132" s="189">
        <v>42928</v>
      </c>
      <c r="M132" s="189">
        <v>42940</v>
      </c>
      <c r="N132" s="190"/>
      <c r="O132" s="190"/>
      <c r="P132" s="190"/>
      <c r="Q132" s="190"/>
      <c r="R132" s="190"/>
      <c r="S132" s="190">
        <v>94222</v>
      </c>
      <c r="T132" s="190"/>
      <c r="U132" s="190"/>
      <c r="V132" s="190"/>
      <c r="W132" s="190">
        <f>+SUM(Table_Query_from_MS_Access_Database_1[[#This Row],[CMAQ]:[TA OVER 200K]])</f>
        <v>94222</v>
      </c>
      <c r="X132" s="53">
        <f>X131-Table_Query_from_MS_Access_Database_1[TOTAL OF AMOUNT]</f>
        <v>80672466.719999999</v>
      </c>
    </row>
    <row r="133" spans="1:24" ht="66" x14ac:dyDescent="0.3">
      <c r="A133" s="193" t="s">
        <v>630</v>
      </c>
      <c r="B133" s="193" t="s">
        <v>503</v>
      </c>
      <c r="C133" s="194" t="s">
        <v>188</v>
      </c>
      <c r="D133" s="193" t="s">
        <v>7</v>
      </c>
      <c r="E133" s="193" t="s">
        <v>445</v>
      </c>
      <c r="F133" s="194" t="s">
        <v>189</v>
      </c>
      <c r="G133" s="194" t="s">
        <v>106</v>
      </c>
      <c r="H133" s="194" t="s">
        <v>300</v>
      </c>
      <c r="I133" s="194" t="str">
        <f>+CONCATENATE(Table_Query_from_MS_Access_Database_1[[#This Row],[RTE]],Table_Query_from_MS_Access_Database_1[[#This Row],[SEC]],Table_Query_from_MS_Access_Database_1[[#This Row],[SEQ]])</f>
        <v>GDY0211</v>
      </c>
      <c r="J133" s="195">
        <v>42962</v>
      </c>
      <c r="K133" s="195">
        <v>42921</v>
      </c>
      <c r="L133" s="195">
        <v>42923</v>
      </c>
      <c r="M133" s="195">
        <v>42943</v>
      </c>
      <c r="N133" s="196">
        <v>165025</v>
      </c>
      <c r="O133" s="196"/>
      <c r="P133" s="196"/>
      <c r="Q133" s="196"/>
      <c r="R133" s="196"/>
      <c r="S133" s="196"/>
      <c r="T133" s="196"/>
      <c r="U133" s="196"/>
      <c r="V133" s="196"/>
      <c r="W133" s="196">
        <f>+SUM(Table_Query_from_MS_Access_Database_1[[#This Row],[CMAQ]:[TA OVER 200K]])</f>
        <v>165025</v>
      </c>
      <c r="X133" s="53">
        <f>X132-Table_Query_from_MS_Access_Database_1[TOTAL OF AMOUNT]</f>
        <v>80507441.719999999</v>
      </c>
    </row>
    <row r="134" spans="1:24" ht="26.4" x14ac:dyDescent="0.3">
      <c r="A134" s="193" t="s">
        <v>532</v>
      </c>
      <c r="B134" s="193" t="s">
        <v>533</v>
      </c>
      <c r="C134" s="194" t="s">
        <v>409</v>
      </c>
      <c r="D134" s="193" t="s">
        <v>7</v>
      </c>
      <c r="E134" s="193" t="s">
        <v>444</v>
      </c>
      <c r="F134" s="194" t="s">
        <v>411</v>
      </c>
      <c r="G134" s="194" t="s">
        <v>106</v>
      </c>
      <c r="H134" s="194" t="s">
        <v>282</v>
      </c>
      <c r="I134" s="194" t="str">
        <f>+CONCATENATE(Table_Query_from_MS_Access_Database_1[[#This Row],[RTE]],Table_Query_from_MS_Access_Database_1[[#This Row],[SEC]],Table_Query_from_MS_Access_Database_1[[#This Row],[SEQ]])</f>
        <v>ELM0210</v>
      </c>
      <c r="J134" s="195">
        <v>42937</v>
      </c>
      <c r="K134" s="195">
        <v>42901</v>
      </c>
      <c r="L134" s="195">
        <v>42936</v>
      </c>
      <c r="M134" s="195">
        <v>42943</v>
      </c>
      <c r="N134" s="196"/>
      <c r="O134" s="196"/>
      <c r="P134" s="196"/>
      <c r="Q134" s="196"/>
      <c r="R134" s="196"/>
      <c r="S134" s="196"/>
      <c r="T134" s="196"/>
      <c r="U134" s="196">
        <v>38192</v>
      </c>
      <c r="V134" s="196"/>
      <c r="W134" s="196">
        <f>+SUM(Table_Query_from_MS_Access_Database_1[[#This Row],[CMAQ]:[TA OVER 200K]])</f>
        <v>38192</v>
      </c>
      <c r="X134" s="53">
        <f>X133-Table_Query_from_MS_Access_Database_1[TOTAL OF AMOUNT]</f>
        <v>80469249.719999999</v>
      </c>
    </row>
    <row r="135" spans="1:24" ht="26.4" x14ac:dyDescent="0.3">
      <c r="A135" s="208" t="s">
        <v>238</v>
      </c>
      <c r="B135" s="208" t="s">
        <v>465</v>
      </c>
      <c r="C135" s="209" t="s">
        <v>137</v>
      </c>
      <c r="D135" s="208" t="s">
        <v>7</v>
      </c>
      <c r="E135" s="208" t="s">
        <v>239</v>
      </c>
      <c r="F135" s="209" t="s">
        <v>138</v>
      </c>
      <c r="G135" s="209" t="s">
        <v>106</v>
      </c>
      <c r="H135" s="209" t="s">
        <v>240</v>
      </c>
      <c r="I135" s="209" t="str">
        <f>+CONCATENATE(Table_Query_from_MS_Access_Database_1[[#This Row],[RTE]],Table_Query_from_MS_Access_Database_1[[#This Row],[SEC]],Table_Query_from_MS_Access_Database_1[[#This Row],[SEQ]])</f>
        <v>TMP0240</v>
      </c>
      <c r="J135" s="210">
        <v>42916</v>
      </c>
      <c r="K135" s="210">
        <v>42922</v>
      </c>
      <c r="L135" s="210">
        <v>42928</v>
      </c>
      <c r="M135" s="210">
        <v>42943</v>
      </c>
      <c r="N135" s="211">
        <v>2348181</v>
      </c>
      <c r="O135" s="211"/>
      <c r="P135" s="211"/>
      <c r="Q135" s="211"/>
      <c r="R135" s="211"/>
      <c r="S135" s="211"/>
      <c r="T135" s="211"/>
      <c r="U135" s="211"/>
      <c r="V135" s="211"/>
      <c r="W135" s="211">
        <f>+SUM(Table_Query_from_MS_Access_Database_1[[#This Row],[CMAQ]:[TA OVER 200K]])</f>
        <v>2348181</v>
      </c>
      <c r="X135" s="53">
        <f>X134-Table_Query_from_MS_Access_Database_1[TOTAL OF AMOUNT]</f>
        <v>78121068.719999999</v>
      </c>
    </row>
    <row r="136" spans="1:24" x14ac:dyDescent="0.3">
      <c r="A136" s="223" t="s">
        <v>629</v>
      </c>
      <c r="B136" s="223" t="s">
        <v>222</v>
      </c>
      <c r="C136" s="102" t="s">
        <v>176</v>
      </c>
      <c r="D136" s="223" t="s">
        <v>7</v>
      </c>
      <c r="E136" s="223" t="s">
        <v>178</v>
      </c>
      <c r="F136" s="102" t="s">
        <v>177</v>
      </c>
      <c r="G136" s="102" t="s">
        <v>106</v>
      </c>
      <c r="H136" s="102" t="s">
        <v>139</v>
      </c>
      <c r="I136" s="102" t="str">
        <f>+CONCATENATE(Table_Query_from_MS_Access_Database_1[[#This Row],[RTE]],Table_Query_from_MS_Access_Database_1[[#This Row],[SEC]],Table_Query_from_MS_Access_Database_1[[#This Row],[SEQ]])</f>
        <v>BKY0212</v>
      </c>
      <c r="J136" s="161">
        <v>42931</v>
      </c>
      <c r="K136" s="161">
        <v>42936</v>
      </c>
      <c r="L136" s="161">
        <v>42937</v>
      </c>
      <c r="M136" s="161">
        <v>42943</v>
      </c>
      <c r="N136" s="158"/>
      <c r="O136" s="158"/>
      <c r="P136" s="158">
        <v>167400</v>
      </c>
      <c r="Q136" s="158"/>
      <c r="R136" s="158"/>
      <c r="S136" s="158"/>
      <c r="T136" s="158"/>
      <c r="U136" s="158"/>
      <c r="V136" s="158"/>
      <c r="W136" s="158">
        <f>+SUM(Table_Query_from_MS_Access_Database_1[[#This Row],[CMAQ]:[TA OVER 200K]])</f>
        <v>167400</v>
      </c>
      <c r="X136" s="53">
        <f>X135-Table_Query_from_MS_Access_Database_1[TOTAL OF AMOUNT]</f>
        <v>77953668.719999999</v>
      </c>
    </row>
    <row r="137" spans="1:24" x14ac:dyDescent="0.3">
      <c r="A137" s="205" t="s">
        <v>631</v>
      </c>
      <c r="B137" s="205" t="s">
        <v>632</v>
      </c>
      <c r="C137" s="206" t="s">
        <v>558</v>
      </c>
      <c r="D137" s="205" t="s">
        <v>9</v>
      </c>
      <c r="E137" s="205" t="s">
        <v>633</v>
      </c>
      <c r="F137" s="206" t="s">
        <v>560</v>
      </c>
      <c r="G137" s="206" t="s">
        <v>106</v>
      </c>
      <c r="H137" s="206" t="s">
        <v>634</v>
      </c>
      <c r="I137" s="206" t="str">
        <f>+CONCATENATE(Table_Query_from_MS_Access_Database_1[[#This Row],[RTE]],Table_Query_from_MS_Access_Database_1[[#This Row],[SEC]],Table_Query_from_MS_Access_Database_1[[#This Row],[SEQ]])</f>
        <v>GIL0213</v>
      </c>
      <c r="J137" s="203"/>
      <c r="K137" s="203">
        <v>42941</v>
      </c>
      <c r="L137" s="203">
        <v>42941</v>
      </c>
      <c r="M137" s="203">
        <v>42947</v>
      </c>
      <c r="N137" s="204">
        <v>-55810.05</v>
      </c>
      <c r="O137" s="204"/>
      <c r="P137" s="204"/>
      <c r="Q137" s="204"/>
      <c r="R137" s="204"/>
      <c r="S137" s="204"/>
      <c r="T137" s="204"/>
      <c r="U137" s="204"/>
      <c r="V137" s="204"/>
      <c r="W137" s="204">
        <f>+SUM(Table_Query_from_MS_Access_Database_1[[#This Row],[CMAQ]:[TA OVER 200K]])</f>
        <v>-55810.05</v>
      </c>
      <c r="X137" s="53">
        <f>X136-Table_Query_from_MS_Access_Database_1[TOTAL OF AMOUNT]</f>
        <v>78009478.769999996</v>
      </c>
    </row>
    <row r="138" spans="1:24" ht="52.8" x14ac:dyDescent="0.3">
      <c r="A138" s="208" t="s">
        <v>605</v>
      </c>
      <c r="B138" s="208" t="s">
        <v>572</v>
      </c>
      <c r="C138" s="209" t="s">
        <v>52</v>
      </c>
      <c r="D138" s="208" t="s">
        <v>508</v>
      </c>
      <c r="E138" s="208" t="s">
        <v>509</v>
      </c>
      <c r="F138" s="209" t="s">
        <v>271</v>
      </c>
      <c r="G138" s="209" t="s">
        <v>266</v>
      </c>
      <c r="H138" s="209" t="s">
        <v>155</v>
      </c>
      <c r="I138" s="209" t="str">
        <f>+CONCATENATE(Table_Query_from_MS_Access_Database_1[[#This Row],[RTE]],Table_Query_from_MS_Access_Database_1[[#This Row],[SEC]],Table_Query_from_MS_Access_Database_1[[#This Row],[SEQ]])</f>
        <v>999AN/A</v>
      </c>
      <c r="J138" s="210">
        <v>42930</v>
      </c>
      <c r="K138" s="210">
        <v>42928</v>
      </c>
      <c r="L138" s="210">
        <v>42930</v>
      </c>
      <c r="M138" s="210">
        <v>42949</v>
      </c>
      <c r="N138" s="211">
        <v>9500000</v>
      </c>
      <c r="O138" s="211"/>
      <c r="P138" s="211"/>
      <c r="Q138" s="211"/>
      <c r="R138" s="211"/>
      <c r="S138" s="211"/>
      <c r="T138" s="211">
        <v>18842329.530000001</v>
      </c>
      <c r="U138" s="211"/>
      <c r="V138" s="211"/>
      <c r="W138" s="211">
        <f>+SUM(Table_Query_from_MS_Access_Database_1[[#This Row],[CMAQ]:[TA OVER 200K]])</f>
        <v>28342329.530000001</v>
      </c>
      <c r="X138" s="53">
        <f>X137-Table_Query_from_MS_Access_Database_1[TOTAL OF AMOUNT]</f>
        <v>49667149.239999995</v>
      </c>
    </row>
    <row r="139" spans="1:24" x14ac:dyDescent="0.3">
      <c r="A139" s="208" t="s">
        <v>268</v>
      </c>
      <c r="B139" s="208" t="s">
        <v>269</v>
      </c>
      <c r="C139" s="209" t="s">
        <v>52</v>
      </c>
      <c r="D139" s="208" t="s">
        <v>508</v>
      </c>
      <c r="E139" s="208" t="s">
        <v>270</v>
      </c>
      <c r="F139" s="209" t="s">
        <v>271</v>
      </c>
      <c r="G139" s="209" t="s">
        <v>266</v>
      </c>
      <c r="H139" s="209" t="s">
        <v>155</v>
      </c>
      <c r="I139" s="209" t="str">
        <f>+CONCATENATE(Table_Query_from_MS_Access_Database_1[[#This Row],[RTE]],Table_Query_from_MS_Access_Database_1[[#This Row],[SEC]],Table_Query_from_MS_Access_Database_1[[#This Row],[SEQ]])</f>
        <v>999AN/A</v>
      </c>
      <c r="J139" s="210">
        <v>42930</v>
      </c>
      <c r="K139" s="210">
        <v>42928</v>
      </c>
      <c r="L139" s="210">
        <v>42930</v>
      </c>
      <c r="M139" s="210">
        <v>42949</v>
      </c>
      <c r="N139" s="211">
        <v>16666055</v>
      </c>
      <c r="O139" s="211"/>
      <c r="P139" s="211"/>
      <c r="Q139" s="211"/>
      <c r="R139" s="211"/>
      <c r="S139" s="211"/>
      <c r="T139" s="211"/>
      <c r="U139" s="211"/>
      <c r="V139" s="211"/>
      <c r="W139" s="211">
        <f>+SUM(Table_Query_from_MS_Access_Database_1[[#This Row],[CMAQ]:[TA OVER 200K]])</f>
        <v>16666055</v>
      </c>
      <c r="X139" s="53">
        <f>X138-Table_Query_from_MS_Access_Database_1[TOTAL OF AMOUNT]</f>
        <v>33001094.239999995</v>
      </c>
    </row>
    <row r="140" spans="1:24" ht="52.8" x14ac:dyDescent="0.3">
      <c r="A140" s="208" t="s">
        <v>605</v>
      </c>
      <c r="B140" s="208" t="s">
        <v>572</v>
      </c>
      <c r="C140" s="209" t="s">
        <v>52</v>
      </c>
      <c r="D140" s="208" t="s">
        <v>508</v>
      </c>
      <c r="E140" s="208" t="s">
        <v>509</v>
      </c>
      <c r="F140" s="209" t="s">
        <v>271</v>
      </c>
      <c r="G140" s="209" t="s">
        <v>266</v>
      </c>
      <c r="H140" s="209" t="s">
        <v>155</v>
      </c>
      <c r="I140" s="209" t="str">
        <f>+CONCATENATE(Table_Query_from_MS_Access_Database_1[[#This Row],[RTE]],Table_Query_from_MS_Access_Database_1[[#This Row],[SEC]],Table_Query_from_MS_Access_Database_1[[#This Row],[SEQ]])</f>
        <v>999AN/A</v>
      </c>
      <c r="J140" s="210">
        <v>42930</v>
      </c>
      <c r="K140" s="210">
        <v>42928</v>
      </c>
      <c r="L140" s="210">
        <v>42930</v>
      </c>
      <c r="M140" s="210">
        <v>42951</v>
      </c>
      <c r="N140" s="211"/>
      <c r="O140" s="211"/>
      <c r="P140" s="211"/>
      <c r="Q140" s="211"/>
      <c r="R140" s="211"/>
      <c r="S140" s="211"/>
      <c r="T140" s="211">
        <v>22665430.469999999</v>
      </c>
      <c r="U140" s="211"/>
      <c r="V140" s="211"/>
      <c r="W140" s="211">
        <f>+SUM(Table_Query_from_MS_Access_Database_1[[#This Row],[CMAQ]:[TA OVER 200K]])</f>
        <v>22665430.469999999</v>
      </c>
      <c r="X140" s="53">
        <f>X139-Table_Query_from_MS_Access_Database_1[TOTAL OF AMOUNT]</f>
        <v>10335663.769999996</v>
      </c>
    </row>
    <row r="141" spans="1:24" ht="26.4" x14ac:dyDescent="0.3">
      <c r="A141" s="193" t="s">
        <v>640</v>
      </c>
      <c r="B141" s="193"/>
      <c r="C141" s="194" t="s">
        <v>134</v>
      </c>
      <c r="D141" s="193" t="s">
        <v>9</v>
      </c>
      <c r="E141" s="193" t="s">
        <v>641</v>
      </c>
      <c r="F141" s="194" t="s">
        <v>135</v>
      </c>
      <c r="G141" s="194" t="s">
        <v>106</v>
      </c>
      <c r="H141" s="194" t="s">
        <v>267</v>
      </c>
      <c r="I141" s="194" t="str">
        <f>+CONCATENATE(Table_Query_from_MS_Access_Database_1[[#This Row],[RTE]],Table_Query_from_MS_Access_Database_1[[#This Row],[SEC]],Table_Query_from_MS_Access_Database_1[[#This Row],[SEQ]])</f>
        <v>CHN0220</v>
      </c>
      <c r="J141" s="195"/>
      <c r="K141" s="195">
        <v>42955</v>
      </c>
      <c r="L141" s="195">
        <v>42955</v>
      </c>
      <c r="M141" s="195">
        <v>42958</v>
      </c>
      <c r="N141" s="196"/>
      <c r="O141" s="196"/>
      <c r="P141" s="196"/>
      <c r="Q141" s="196"/>
      <c r="R141" s="196"/>
      <c r="S141" s="196"/>
      <c r="T141" s="196">
        <v>-1202842.6200000001</v>
      </c>
      <c r="U141" s="196"/>
      <c r="V141" s="196"/>
      <c r="W141" s="196">
        <f>+SUM(Table_Query_from_MS_Access_Database_1[[#This Row],[CMAQ]:[TA OVER 200K]])</f>
        <v>-1202842.6200000001</v>
      </c>
      <c r="X141" s="53">
        <f>X140-Table_Query_from_MS_Access_Database_1[TOTAL OF AMOUNT]</f>
        <v>11538506.389999997</v>
      </c>
    </row>
    <row r="142" spans="1:24" ht="26.4" x14ac:dyDescent="0.3">
      <c r="A142" s="208" t="s">
        <v>419</v>
      </c>
      <c r="B142" s="208" t="s">
        <v>642</v>
      </c>
      <c r="C142" s="209" t="s">
        <v>107</v>
      </c>
      <c r="D142" s="208" t="s">
        <v>7</v>
      </c>
      <c r="E142" s="208" t="s">
        <v>323</v>
      </c>
      <c r="F142" s="209" t="s">
        <v>108</v>
      </c>
      <c r="G142" s="209" t="s">
        <v>106</v>
      </c>
      <c r="H142" s="209" t="s">
        <v>494</v>
      </c>
      <c r="I142" s="209" t="str">
        <f>+CONCATENATE(Table_Query_from_MS_Access_Database_1[[#This Row],[RTE]],Table_Query_from_MS_Access_Database_1[[#This Row],[SEC]],Table_Query_from_MS_Access_Database_1[[#This Row],[SEQ]])</f>
        <v>PHX0341</v>
      </c>
      <c r="J142" s="210">
        <v>42931</v>
      </c>
      <c r="K142" s="210">
        <v>42954</v>
      </c>
      <c r="L142" s="210">
        <v>42955</v>
      </c>
      <c r="M142" s="210">
        <v>42961</v>
      </c>
      <c r="N142" s="211">
        <v>2168900</v>
      </c>
      <c r="O142" s="211"/>
      <c r="P142" s="211"/>
      <c r="Q142" s="211"/>
      <c r="R142" s="211"/>
      <c r="S142" s="211"/>
      <c r="T142" s="211"/>
      <c r="U142" s="211"/>
      <c r="V142" s="211"/>
      <c r="W142" s="211">
        <f>+SUM(Table_Query_from_MS_Access_Database_1[[#This Row],[CMAQ]:[TA OVER 200K]])</f>
        <v>2168900</v>
      </c>
      <c r="X142" s="53">
        <f>X141-Table_Query_from_MS_Access_Database_1[TOTAL OF AMOUNT]</f>
        <v>9369606.3899999969</v>
      </c>
    </row>
    <row r="143" spans="1:24" x14ac:dyDescent="0.3">
      <c r="A143" s="222" t="s">
        <v>643</v>
      </c>
      <c r="B143" s="222" t="s">
        <v>644</v>
      </c>
      <c r="C143" s="102" t="s">
        <v>198</v>
      </c>
      <c r="D143" s="222" t="s">
        <v>9</v>
      </c>
      <c r="E143" s="222" t="s">
        <v>645</v>
      </c>
      <c r="F143" s="102" t="s">
        <v>199</v>
      </c>
      <c r="G143" s="102" t="s">
        <v>106</v>
      </c>
      <c r="H143" s="102" t="s">
        <v>194</v>
      </c>
      <c r="I143" s="102" t="str">
        <f>+CONCATENATE(Table_Query_from_MS_Access_Database_1[[#This Row],[RTE]],Table_Query_from_MS_Access_Database_1[[#This Row],[SEC]],Table_Query_from_MS_Access_Database_1[[#This Row],[SEQ]])</f>
        <v>SCT0223</v>
      </c>
      <c r="J143" s="161"/>
      <c r="K143" s="161">
        <v>42961</v>
      </c>
      <c r="L143" s="161">
        <v>42961</v>
      </c>
      <c r="M143" s="161">
        <v>42970</v>
      </c>
      <c r="N143" s="158">
        <v>-225648.39</v>
      </c>
      <c r="O143" s="158"/>
      <c r="P143" s="158"/>
      <c r="Q143" s="158"/>
      <c r="R143" s="158"/>
      <c r="S143" s="158"/>
      <c r="T143" s="158"/>
      <c r="U143" s="158"/>
      <c r="V143" s="158"/>
      <c r="W143" s="158">
        <f>+SUM(Table_Query_from_MS_Access_Database_1[[#This Row],[CMAQ]:[TA OVER 200K]])</f>
        <v>-225648.39</v>
      </c>
      <c r="X143" s="53">
        <f>X142-Table_Query_from_MS_Access_Database_1[TOTAL OF AMOUNT]</f>
        <v>9595254.7799999975</v>
      </c>
    </row>
    <row r="144" spans="1:24" ht="26.4" x14ac:dyDescent="0.3">
      <c r="A144" s="208" t="s">
        <v>253</v>
      </c>
      <c r="B144" s="208" t="s">
        <v>254</v>
      </c>
      <c r="C144" s="209" t="s">
        <v>137</v>
      </c>
      <c r="D144" s="208" t="s">
        <v>7</v>
      </c>
      <c r="E144" s="208" t="s">
        <v>255</v>
      </c>
      <c r="F144" s="209" t="s">
        <v>138</v>
      </c>
      <c r="G144" s="209" t="s">
        <v>106</v>
      </c>
      <c r="H144" s="209" t="s">
        <v>179</v>
      </c>
      <c r="I144" s="209" t="str">
        <f>+CONCATENATE(Table_Query_from_MS_Access_Database_1[[#This Row],[RTE]],Table_Query_from_MS_Access_Database_1[[#This Row],[SEC]],Table_Query_from_MS_Access_Database_1[[#This Row],[SEQ]])</f>
        <v>TMP0245</v>
      </c>
      <c r="J144" s="210">
        <v>42962</v>
      </c>
      <c r="K144" s="210">
        <v>42962</v>
      </c>
      <c r="L144" s="210">
        <v>42968</v>
      </c>
      <c r="M144" s="210">
        <v>42971</v>
      </c>
      <c r="N144" s="211"/>
      <c r="O144" s="211"/>
      <c r="P144" s="211"/>
      <c r="Q144" s="211"/>
      <c r="R144" s="211"/>
      <c r="S144" s="211"/>
      <c r="T144" s="211"/>
      <c r="U144" s="211"/>
      <c r="V144" s="211">
        <v>3233617</v>
      </c>
      <c r="W144" s="211">
        <f>+SUM(Table_Query_from_MS_Access_Database_1[[#This Row],[CMAQ]:[TA OVER 200K]])</f>
        <v>3233617</v>
      </c>
      <c r="X144" s="53">
        <f>X143-Table_Query_from_MS_Access_Database_1[TOTAL OF AMOUNT]</f>
        <v>6361637.7799999975</v>
      </c>
    </row>
    <row r="145" spans="1:24" x14ac:dyDescent="0.3">
      <c r="A145" s="222" t="s">
        <v>301</v>
      </c>
      <c r="B145" s="222" t="s">
        <v>302</v>
      </c>
      <c r="C145" s="102" t="s">
        <v>107</v>
      </c>
      <c r="D145" s="222" t="s">
        <v>7</v>
      </c>
      <c r="E145" s="222" t="s">
        <v>303</v>
      </c>
      <c r="F145" s="102" t="s">
        <v>108</v>
      </c>
      <c r="G145" s="102" t="s">
        <v>106</v>
      </c>
      <c r="H145" s="102" t="s">
        <v>304</v>
      </c>
      <c r="I145" s="102" t="str">
        <f>+CONCATENATE(Table_Query_from_MS_Access_Database_1[[#This Row],[RTE]],Table_Query_from_MS_Access_Database_1[[#This Row],[SEC]],Table_Query_from_MS_Access_Database_1[[#This Row],[SEQ]])</f>
        <v>PHX0301</v>
      </c>
      <c r="J145" s="161">
        <v>42885</v>
      </c>
      <c r="K145" s="161">
        <v>42902</v>
      </c>
      <c r="L145" s="161">
        <v>42962</v>
      </c>
      <c r="M145" s="161">
        <v>42971</v>
      </c>
      <c r="N145" s="158">
        <v>1500000</v>
      </c>
      <c r="O145" s="158"/>
      <c r="P145" s="158"/>
      <c r="Q145" s="158"/>
      <c r="R145" s="158"/>
      <c r="S145" s="158"/>
      <c r="T145" s="158"/>
      <c r="U145" s="158"/>
      <c r="V145" s="158"/>
      <c r="W145" s="158">
        <f>+SUM(Table_Query_from_MS_Access_Database_1[[#This Row],[CMAQ]:[TA OVER 200K]])</f>
        <v>1500000</v>
      </c>
      <c r="X145" s="53">
        <f>X144-Table_Query_from_MS_Access_Database_1[TOTAL OF AMOUNT]</f>
        <v>4861637.7799999975</v>
      </c>
    </row>
    <row r="146" spans="1:24" x14ac:dyDescent="0.3">
      <c r="A146" s="208" t="s">
        <v>636</v>
      </c>
      <c r="B146" s="208" t="s">
        <v>637</v>
      </c>
      <c r="C146" s="209" t="s">
        <v>52</v>
      </c>
      <c r="D146" s="208" t="s">
        <v>7</v>
      </c>
      <c r="E146" s="208" t="s">
        <v>638</v>
      </c>
      <c r="F146" s="209" t="s">
        <v>639</v>
      </c>
      <c r="G146" s="209"/>
      <c r="H146" s="209" t="s">
        <v>184</v>
      </c>
      <c r="I146" s="209" t="str">
        <f>+CONCATENATE(Table_Query_from_MS_Access_Database_1[[#This Row],[RTE]],Table_Query_from_MS_Access_Database_1[[#This Row],[SEC]],Table_Query_from_MS_Access_Database_1[[#This Row],[SEQ]])</f>
        <v>000TBD</v>
      </c>
      <c r="J146" s="210">
        <v>42979</v>
      </c>
      <c r="K146" s="210">
        <v>42962</v>
      </c>
      <c r="L146" s="210">
        <v>42963</v>
      </c>
      <c r="M146" s="210">
        <v>42975</v>
      </c>
      <c r="N146" s="211"/>
      <c r="O146" s="211"/>
      <c r="P146" s="211"/>
      <c r="Q146" s="211"/>
      <c r="R146" s="211"/>
      <c r="S146" s="211"/>
      <c r="T146" s="211">
        <v>943000</v>
      </c>
      <c r="U146" s="211"/>
      <c r="V146" s="211"/>
      <c r="W146" s="211">
        <f>+SUM(Table_Query_from_MS_Access_Database_1[[#This Row],[CMAQ]:[TA OVER 200K]])</f>
        <v>943000</v>
      </c>
      <c r="X146" s="53">
        <f>X145-Table_Query_from_MS_Access_Database_1[TOTAL OF AMOUNT]</f>
        <v>3918637.7799999975</v>
      </c>
    </row>
    <row r="147" spans="1:24" x14ac:dyDescent="0.3">
      <c r="A147" s="224" t="s">
        <v>256</v>
      </c>
      <c r="B147" s="224" t="s">
        <v>257</v>
      </c>
      <c r="C147" s="225" t="s">
        <v>190</v>
      </c>
      <c r="D147" s="224" t="s">
        <v>7</v>
      </c>
      <c r="E147" s="224" t="s">
        <v>258</v>
      </c>
      <c r="F147" s="225" t="s">
        <v>191</v>
      </c>
      <c r="G147" s="225" t="s">
        <v>106</v>
      </c>
      <c r="H147" s="225" t="s">
        <v>206</v>
      </c>
      <c r="I147" s="225" t="str">
        <f>+CONCATENATE(Table_Query_from_MS_Access_Database_1[[#This Row],[RTE]],Table_Query_from_MS_Access_Database_1[[#This Row],[SEC]],Table_Query_from_MS_Access_Database_1[[#This Row],[SEQ]])</f>
        <v>AVN0224</v>
      </c>
      <c r="J147" s="226">
        <v>42958</v>
      </c>
      <c r="K147" s="226">
        <v>42975</v>
      </c>
      <c r="L147" s="226">
        <v>42978</v>
      </c>
      <c r="M147" s="226">
        <v>42989</v>
      </c>
      <c r="N147" s="227">
        <v>424498</v>
      </c>
      <c r="O147" s="227"/>
      <c r="P147" s="227"/>
      <c r="Q147" s="227"/>
      <c r="R147" s="227"/>
      <c r="S147" s="227"/>
      <c r="T147" s="227"/>
      <c r="U147" s="227"/>
      <c r="V147" s="227"/>
      <c r="W147" s="227">
        <f>+SUM(Table_Query_from_MS_Access_Database_1[[#This Row],[CMAQ]:[TA OVER 200K]])</f>
        <v>424498</v>
      </c>
      <c r="X147" s="53">
        <f>X146-Table_Query_from_MS_Access_Database_1[TOTAL OF AMOUNT]</f>
        <v>3494139.7799999975</v>
      </c>
    </row>
    <row r="148" spans="1:24" ht="39.6" x14ac:dyDescent="0.3">
      <c r="A148" s="224" t="s">
        <v>390</v>
      </c>
      <c r="B148" s="224" t="s">
        <v>391</v>
      </c>
      <c r="C148" s="225" t="s">
        <v>140</v>
      </c>
      <c r="D148" s="224" t="s">
        <v>646</v>
      </c>
      <c r="E148" s="224" t="s">
        <v>392</v>
      </c>
      <c r="F148" s="225" t="s">
        <v>136</v>
      </c>
      <c r="G148" s="225" t="s">
        <v>106</v>
      </c>
      <c r="H148" s="225" t="s">
        <v>216</v>
      </c>
      <c r="I148" s="225" t="str">
        <f>+CONCATENATE(Table_Query_from_MS_Access_Database_1[[#This Row],[RTE]],Table_Query_from_MS_Access_Database_1[[#This Row],[SEC]],Table_Query_from_MS_Access_Database_1[[#This Row],[SEQ]])</f>
        <v>MMA0249</v>
      </c>
      <c r="J148" s="226">
        <v>42989</v>
      </c>
      <c r="K148" s="226">
        <v>42986</v>
      </c>
      <c r="L148" s="226">
        <v>42989</v>
      </c>
      <c r="M148" s="226">
        <v>42990</v>
      </c>
      <c r="N148" s="227"/>
      <c r="O148" s="227"/>
      <c r="P148" s="227"/>
      <c r="Q148" s="227"/>
      <c r="R148" s="227"/>
      <c r="S148" s="227"/>
      <c r="T148" s="227">
        <v>782837</v>
      </c>
      <c r="U148" s="227"/>
      <c r="V148" s="227"/>
      <c r="W148" s="227">
        <f>+SUM(Table_Query_from_MS_Access_Database_1[[#This Row],[CMAQ]:[TA OVER 200K]])</f>
        <v>782837</v>
      </c>
      <c r="X148" s="53">
        <f>X147-Table_Query_from_MS_Access_Database_1[TOTAL OF AMOUNT]</f>
        <v>2711302.7799999975</v>
      </c>
    </row>
    <row r="149" spans="1:24" ht="52.8" x14ac:dyDescent="0.3">
      <c r="A149" s="224" t="s">
        <v>227</v>
      </c>
      <c r="B149" s="224" t="s">
        <v>228</v>
      </c>
      <c r="C149" s="225" t="s">
        <v>140</v>
      </c>
      <c r="D149" s="224" t="s">
        <v>8</v>
      </c>
      <c r="E149" s="224" t="s">
        <v>635</v>
      </c>
      <c r="F149" s="225" t="s">
        <v>136</v>
      </c>
      <c r="G149" s="225" t="s">
        <v>106</v>
      </c>
      <c r="H149" s="225" t="s">
        <v>215</v>
      </c>
      <c r="I149" s="225" t="str">
        <f>+CONCATENATE(Table_Query_from_MS_Access_Database_1[[#This Row],[RTE]],Table_Query_from_MS_Access_Database_1[[#This Row],[SEC]],Table_Query_from_MS_Access_Database_1[[#This Row],[SEQ]])</f>
        <v>MMA0248</v>
      </c>
      <c r="J149" s="226"/>
      <c r="K149" s="226">
        <v>42968</v>
      </c>
      <c r="L149" s="226">
        <v>42972</v>
      </c>
      <c r="M149" s="226">
        <v>42991</v>
      </c>
      <c r="N149" s="227"/>
      <c r="O149" s="227"/>
      <c r="P149" s="227"/>
      <c r="Q149" s="227"/>
      <c r="R149" s="227"/>
      <c r="S149" s="227"/>
      <c r="T149" s="227">
        <v>1464300</v>
      </c>
      <c r="U149" s="227"/>
      <c r="V149" s="227"/>
      <c r="W149" s="227">
        <f>+SUM(Table_Query_from_MS_Access_Database_1[[#This Row],[CMAQ]:[TA OVER 200K]])</f>
        <v>1464300</v>
      </c>
      <c r="X149" s="53">
        <f>X148-Table_Query_from_MS_Access_Database_1[TOTAL OF AMOUNT]</f>
        <v>1247002.7799999975</v>
      </c>
    </row>
    <row r="150" spans="1:24" ht="26.4" x14ac:dyDescent="0.3">
      <c r="A150" s="224" t="s">
        <v>466</v>
      </c>
      <c r="B150" s="224" t="s">
        <v>467</v>
      </c>
      <c r="C150" s="225" t="s">
        <v>107</v>
      </c>
      <c r="D150" s="224" t="s">
        <v>7</v>
      </c>
      <c r="E150" s="224" t="s">
        <v>468</v>
      </c>
      <c r="F150" s="225" t="s">
        <v>108</v>
      </c>
      <c r="G150" s="225" t="s">
        <v>106</v>
      </c>
      <c r="H150" s="225" t="s">
        <v>469</v>
      </c>
      <c r="I150" s="225" t="str">
        <f>+CONCATENATE(Table_Query_from_MS_Access_Database_1[[#This Row],[RTE]],Table_Query_from_MS_Access_Database_1[[#This Row],[SEC]],Table_Query_from_MS_Access_Database_1[[#This Row],[SEQ]])</f>
        <v>PHX0331</v>
      </c>
      <c r="J150" s="226">
        <v>42901</v>
      </c>
      <c r="K150" s="226">
        <v>42983</v>
      </c>
      <c r="L150" s="226">
        <v>42985</v>
      </c>
      <c r="M150" s="226">
        <v>42993</v>
      </c>
      <c r="N150" s="227">
        <v>915490</v>
      </c>
      <c r="O150" s="227"/>
      <c r="P150" s="227"/>
      <c r="Q150" s="227"/>
      <c r="R150" s="227"/>
      <c r="S150" s="227"/>
      <c r="T150" s="227"/>
      <c r="U150" s="227"/>
      <c r="V150" s="227"/>
      <c r="W150" s="227">
        <f>+SUM(Table_Query_from_MS_Access_Database_1[[#This Row],[CMAQ]:[TA OVER 200K]])</f>
        <v>915490</v>
      </c>
      <c r="X150" s="53">
        <f>X149-Table_Query_from_MS_Access_Database_1[TOTAL OF AMOUNT]</f>
        <v>331512.77999999747</v>
      </c>
    </row>
    <row r="151" spans="1:24" x14ac:dyDescent="0.3">
      <c r="A151" s="103"/>
      <c r="B151" s="104"/>
      <c r="C151" s="104"/>
      <c r="D151" s="104"/>
      <c r="E151" s="105"/>
      <c r="F151" s="105"/>
      <c r="G151" s="105"/>
      <c r="H151" s="105"/>
      <c r="I151" s="105"/>
      <c r="J151" s="106"/>
      <c r="K151" s="106"/>
      <c r="L151" s="106"/>
      <c r="M151" s="79" t="s">
        <v>85</v>
      </c>
      <c r="N151" s="152">
        <f>+SUM(Table_Query_from_MS_Access_Database_1[[#All],[CMAQ]])</f>
        <v>48536924.890000001</v>
      </c>
      <c r="O151" s="152">
        <f>+SUM(Table_Query_from_MS_Access_Database_1[[#All],[CMAQ 2_5]])</f>
        <v>611190</v>
      </c>
      <c r="P151" s="152">
        <f>+SUM(Table_Query_from_MS_Access_Database_1[[#All],[HSIP]])</f>
        <v>1944129.79</v>
      </c>
      <c r="Q151" s="152">
        <f>+SUM(Table_Query_from_MS_Access_Database_1[[#All],[PL]])</f>
        <v>4043401</v>
      </c>
      <c r="R151" s="152">
        <f>+SUM(Table_Query_from_MS_Access_Database_1[[#All],[SPR]])</f>
        <v>1250000</v>
      </c>
      <c r="S151" s="152">
        <f>+SUM(Table_Query_from_MS_Access_Database_1[[#All],[STP OTHER]])</f>
        <v>-1384434.77</v>
      </c>
      <c r="T151" s="152">
        <f>+SUM(Table_Query_from_MS_Access_Database_1[[#All],[STP OVER 200K]])</f>
        <v>56957548.620000005</v>
      </c>
      <c r="U151" s="152">
        <f>+SUM(Table_Query_from_MS_Access_Database_1[[#All],[TA OTHER]])</f>
        <v>38192</v>
      </c>
      <c r="V151" s="152">
        <f>+SUM(Table_Query_from_MS_Access_Database_1[[#All],[TA OVER 200K]])</f>
        <v>3847241.0700000003</v>
      </c>
      <c r="W151" s="153">
        <f>+SUM(Table_Query_from_MS_Access_Database_1[TOTAL OF AMOUNT])</f>
        <v>115844192.60000001</v>
      </c>
      <c r="X151" s="60"/>
    </row>
    <row r="152" spans="1:24" ht="16.2" thickBot="1" x14ac:dyDescent="0.35">
      <c r="A152" s="103"/>
      <c r="B152" s="104"/>
      <c r="C152" s="104"/>
      <c r="D152" s="104"/>
      <c r="E152" s="105"/>
      <c r="F152" s="105"/>
      <c r="G152" s="105"/>
      <c r="H152" s="105"/>
      <c r="I152" s="105"/>
      <c r="J152" s="106"/>
      <c r="K152" s="106"/>
      <c r="L152" s="106"/>
      <c r="M152" s="80" t="s">
        <v>84</v>
      </c>
      <c r="N152" s="154">
        <f t="shared" ref="N152:W152" si="1">+N14-N151</f>
        <v>6246711.1799999997</v>
      </c>
      <c r="O152" s="154">
        <f t="shared" si="1"/>
        <v>493777</v>
      </c>
      <c r="P152" s="154">
        <f t="shared" si="1"/>
        <v>868561.21</v>
      </c>
      <c r="Q152" s="154">
        <f t="shared" si="1"/>
        <v>0</v>
      </c>
      <c r="R152" s="154">
        <f t="shared" si="1"/>
        <v>0</v>
      </c>
      <c r="S152" s="154">
        <f t="shared" si="1"/>
        <v>3984361.77</v>
      </c>
      <c r="T152" s="154">
        <f t="shared" si="1"/>
        <v>46615542.429999992</v>
      </c>
      <c r="U152" s="154">
        <f t="shared" si="1"/>
        <v>464715</v>
      </c>
      <c r="V152" s="154">
        <f t="shared" si="1"/>
        <v>5169116.1500000004</v>
      </c>
      <c r="W152" s="155">
        <f t="shared" si="1"/>
        <v>63842784.739999995</v>
      </c>
      <c r="X152" s="60"/>
    </row>
    <row r="153" spans="1:24" x14ac:dyDescent="0.3">
      <c r="A153" s="75"/>
      <c r="B153" s="76"/>
      <c r="C153" s="76"/>
      <c r="D153" s="76"/>
      <c r="E153" s="77"/>
      <c r="F153" s="77"/>
      <c r="G153" s="77"/>
      <c r="H153" s="77"/>
      <c r="I153" s="77"/>
      <c r="J153" s="78"/>
      <c r="K153" s="78"/>
      <c r="L153" s="78"/>
      <c r="M153" s="81"/>
      <c r="N153" s="82"/>
      <c r="O153" s="82"/>
      <c r="P153" s="82"/>
      <c r="Q153" s="82"/>
      <c r="R153" s="82"/>
      <c r="S153" s="39"/>
      <c r="T153" s="83"/>
      <c r="U153" s="60"/>
      <c r="V153" s="60"/>
      <c r="W153" s="60"/>
      <c r="X153" s="60"/>
    </row>
    <row r="154" spans="1:24" ht="16.8" x14ac:dyDescent="0.3">
      <c r="A154" s="228" t="s">
        <v>36</v>
      </c>
      <c r="B154" s="228"/>
      <c r="C154" s="228"/>
      <c r="D154" s="228"/>
      <c r="E154" s="49"/>
      <c r="F154" s="49"/>
      <c r="G154" s="75"/>
      <c r="H154" s="75"/>
      <c r="I154" s="75"/>
      <c r="J154" s="85"/>
      <c r="K154" s="85"/>
      <c r="L154" s="85"/>
      <c r="M154" s="85"/>
      <c r="N154" s="43"/>
      <c r="O154" s="43"/>
      <c r="P154" s="43"/>
      <c r="Q154" s="84"/>
      <c r="R154" s="84"/>
      <c r="S154" s="43"/>
      <c r="T154" s="47"/>
      <c r="U154" s="47"/>
      <c r="V154" s="60"/>
      <c r="W154" s="47"/>
      <c r="X154" s="46"/>
    </row>
    <row r="155" spans="1:24" ht="45" x14ac:dyDescent="0.3">
      <c r="A155" s="83" t="s">
        <v>1</v>
      </c>
      <c r="B155" s="83" t="s">
        <v>0</v>
      </c>
      <c r="C155" s="83" t="s">
        <v>3</v>
      </c>
      <c r="D155" s="83" t="s">
        <v>93</v>
      </c>
      <c r="E155" s="83" t="s">
        <v>2</v>
      </c>
      <c r="F155" s="83" t="s">
        <v>53</v>
      </c>
      <c r="G155" s="83" t="s">
        <v>54</v>
      </c>
      <c r="H155" s="83" t="s">
        <v>55</v>
      </c>
      <c r="I155" s="83" t="s">
        <v>61</v>
      </c>
      <c r="J155" s="86" t="s">
        <v>56</v>
      </c>
      <c r="K155" s="87" t="s">
        <v>57</v>
      </c>
      <c r="L155" s="87" t="s">
        <v>58</v>
      </c>
      <c r="M155" s="87" t="s">
        <v>59</v>
      </c>
      <c r="N155" s="88" t="s">
        <v>43</v>
      </c>
      <c r="O155" s="88" t="s">
        <v>44</v>
      </c>
      <c r="P155" s="88" t="s">
        <v>4</v>
      </c>
      <c r="Q155" s="88" t="s">
        <v>45</v>
      </c>
      <c r="R155" s="88" t="s">
        <v>5</v>
      </c>
      <c r="S155" s="88" t="s">
        <v>60</v>
      </c>
      <c r="T155" s="89" t="s">
        <v>103</v>
      </c>
      <c r="U155" s="90" t="s">
        <v>104</v>
      </c>
      <c r="V155" s="90" t="s">
        <v>105</v>
      </c>
      <c r="W155" s="90" t="s">
        <v>96</v>
      </c>
      <c r="X155" s="91" t="s">
        <v>62</v>
      </c>
    </row>
    <row r="156" spans="1:24" x14ac:dyDescent="0.3">
      <c r="A156" s="181"/>
      <c r="B156" s="184"/>
      <c r="C156" s="184"/>
      <c r="D156" s="184"/>
      <c r="E156" s="184"/>
      <c r="F156" s="184"/>
      <c r="G156" s="184"/>
      <c r="H156" s="184"/>
      <c r="I156" s="184" t="str">
        <f>CONCATENATE(Table_Query_from_MS_Access_Database_2[[#This Row],[RTE]],Table_Query_from_MS_Access_Database_2[[#This Row],[SEC]],Table_Query_from_MS_Access_Database_2[[#This Row],[SEQ]])</f>
        <v/>
      </c>
      <c r="J156" s="185"/>
      <c r="K156" s="185"/>
      <c r="L156" s="185"/>
      <c r="M156" s="185"/>
      <c r="N156" s="186"/>
      <c r="O156" s="186"/>
      <c r="P156" s="186"/>
      <c r="Q156" s="186"/>
      <c r="R156" s="186"/>
      <c r="S156" s="186"/>
      <c r="T156" s="186"/>
      <c r="U156" s="186"/>
      <c r="V156" s="186"/>
      <c r="W156" s="186">
        <f>SUM(Table_Query_from_MS_Access_Database_2[[CMAQ]:[TA OVER 200K]])</f>
        <v>0</v>
      </c>
      <c r="X156" s="140">
        <f>X150-Table_Query_from_MS_Access_Database_2[TOTAL OF AMOUNT]</f>
        <v>331512.77999999747</v>
      </c>
    </row>
    <row r="157" spans="1:24" x14ac:dyDescent="0.3">
      <c r="A157" s="48"/>
      <c r="B157" s="48"/>
      <c r="C157" s="48"/>
      <c r="D157" s="48"/>
      <c r="E157" s="48"/>
      <c r="F157" s="48"/>
      <c r="G157" s="48"/>
      <c r="H157" s="48"/>
      <c r="J157" s="87"/>
      <c r="K157" s="87"/>
      <c r="L157" s="212" t="s">
        <v>525</v>
      </c>
      <c r="M157" s="79" t="s">
        <v>85</v>
      </c>
      <c r="N157" s="152">
        <f>SUM(Table_Query_from_MS_Access_Database_2[[#All],[CMAQ]])</f>
        <v>0</v>
      </c>
      <c r="O157" s="152">
        <f>SUM(Table_Query_from_MS_Access_Database_2[[#All],[CMAQ 2_5]])</f>
        <v>0</v>
      </c>
      <c r="P157" s="152">
        <f>SUM(Table_Query_from_MS_Access_Database_2[[#All],[HSIP]])</f>
        <v>0</v>
      </c>
      <c r="Q157" s="152">
        <f>SUM(Table_Query_from_MS_Access_Database_2[[#All],[PL]])</f>
        <v>0</v>
      </c>
      <c r="R157" s="152">
        <f>SUM(Table_Query_from_MS_Access_Database_2[[#All],[SPR]])</f>
        <v>0</v>
      </c>
      <c r="S157" s="152">
        <f>SUM(Table_Query_from_MS_Access_Database_2[[#All],[STP OTHER]])</f>
        <v>0</v>
      </c>
      <c r="T157" s="152">
        <f>SUM(Table_Query_from_MS_Access_Database_2[[#All],[STP OVER 200K]])</f>
        <v>0</v>
      </c>
      <c r="U157" s="152">
        <f>SUM(Table_Query_from_MS_Access_Database_2[[#All],[TA OTHER]])</f>
        <v>0</v>
      </c>
      <c r="V157" s="152">
        <f>SUM(Table_Query_from_MS_Access_Database_2[[#All],[TA OVER 200K]])</f>
        <v>0</v>
      </c>
      <c r="W157" s="153">
        <f>SUM(Table_Query_from_MS_Access_Database_2[[#All],[TOTAL OF AMOUNT]])</f>
        <v>0</v>
      </c>
      <c r="X157" s="156"/>
    </row>
    <row r="158" spans="1:24" ht="27" thickBot="1" x14ac:dyDescent="0.35">
      <c r="A158" s="48"/>
      <c r="B158" s="48"/>
      <c r="C158" s="48"/>
      <c r="D158" s="48"/>
      <c r="E158" s="48"/>
      <c r="F158" s="48"/>
      <c r="G158" s="48"/>
      <c r="H158" s="48"/>
      <c r="J158" s="87"/>
      <c r="K158" s="87"/>
      <c r="L158" s="213" t="s">
        <v>84</v>
      </c>
      <c r="M158" s="80" t="s">
        <v>84</v>
      </c>
      <c r="N158" s="154">
        <f t="shared" ref="N158:W158" si="2">+N152-N157</f>
        <v>6246711.1799999997</v>
      </c>
      <c r="O158" s="154">
        <f t="shared" si="2"/>
        <v>493777</v>
      </c>
      <c r="P158" s="154">
        <f t="shared" si="2"/>
        <v>868561.21</v>
      </c>
      <c r="Q158" s="154">
        <f t="shared" si="2"/>
        <v>0</v>
      </c>
      <c r="R158" s="154">
        <f t="shared" si="2"/>
        <v>0</v>
      </c>
      <c r="S158" s="154">
        <f t="shared" si="2"/>
        <v>3984361.77</v>
      </c>
      <c r="T158" s="154">
        <f t="shared" si="2"/>
        <v>46615542.429999992</v>
      </c>
      <c r="U158" s="154">
        <f t="shared" si="2"/>
        <v>464715</v>
      </c>
      <c r="V158" s="154">
        <f t="shared" si="2"/>
        <v>5169116.1500000004</v>
      </c>
      <c r="W158" s="155">
        <f t="shared" si="2"/>
        <v>63842784.739999995</v>
      </c>
      <c r="X158" s="53"/>
    </row>
    <row r="159" spans="1:24" x14ac:dyDescent="0.3">
      <c r="A159" s="46"/>
      <c r="B159" s="46"/>
      <c r="C159" s="46"/>
      <c r="D159" s="46"/>
      <c r="E159" s="46"/>
      <c r="F159" s="46"/>
      <c r="G159" s="46"/>
      <c r="H159" s="46"/>
      <c r="I159" s="214"/>
      <c r="J159" s="92"/>
      <c r="K159" s="92"/>
      <c r="L159" s="92"/>
      <c r="M159" s="92"/>
      <c r="N159" s="47"/>
      <c r="O159" s="47"/>
      <c r="P159" s="47"/>
      <c r="Q159" s="47"/>
      <c r="R159" s="47"/>
      <c r="S159" s="47"/>
      <c r="T159" s="53"/>
      <c r="U159" s="61"/>
      <c r="V159" s="53"/>
      <c r="W159" s="43"/>
      <c r="X159" s="46"/>
    </row>
    <row r="160" spans="1:24" x14ac:dyDescent="0.3">
      <c r="A160" s="46"/>
      <c r="B160" s="46"/>
      <c r="C160" s="46"/>
      <c r="D160" s="46"/>
      <c r="E160" s="46"/>
      <c r="F160" s="46"/>
      <c r="G160" s="46"/>
      <c r="H160" s="46"/>
      <c r="I160" s="214"/>
      <c r="J160" s="92"/>
      <c r="K160" s="92"/>
      <c r="L160" s="92"/>
      <c r="M160" s="92"/>
      <c r="N160" s="47"/>
      <c r="O160" s="47"/>
      <c r="P160" s="47"/>
      <c r="Q160" s="47"/>
      <c r="R160" s="47"/>
      <c r="S160" s="47"/>
      <c r="T160" s="43"/>
      <c r="U160" s="47"/>
      <c r="V160" s="53"/>
      <c r="W160" s="44"/>
      <c r="X160" s="45"/>
    </row>
    <row r="161" spans="1:24" ht="16.8" x14ac:dyDescent="0.3">
      <c r="A161" s="171" t="s">
        <v>86</v>
      </c>
      <c r="B161" s="46"/>
      <c r="C161" s="46"/>
      <c r="D161" s="46"/>
      <c r="E161" s="46"/>
      <c r="F161" s="46"/>
      <c r="G161" s="46"/>
      <c r="H161" s="46"/>
      <c r="I161" s="214"/>
      <c r="J161" s="92"/>
      <c r="K161" s="92"/>
      <c r="L161" s="92"/>
      <c r="M161" s="92"/>
      <c r="N161" s="231" t="s">
        <v>66</v>
      </c>
      <c r="O161" s="231"/>
      <c r="P161" s="231"/>
      <c r="Q161" s="231"/>
      <c r="R161" s="231"/>
      <c r="S161" s="231"/>
      <c r="T161" s="231"/>
      <c r="U161" s="231"/>
      <c r="V161" s="231"/>
      <c r="W161" s="231"/>
      <c r="X161" s="45"/>
    </row>
    <row r="162" spans="1:24" x14ac:dyDescent="0.3">
      <c r="A162" s="46"/>
      <c r="B162" s="46"/>
      <c r="C162" s="46"/>
      <c r="D162" s="46"/>
      <c r="E162" s="46"/>
      <c r="F162" s="46"/>
      <c r="G162" s="46"/>
      <c r="H162" s="46"/>
      <c r="I162" s="215"/>
      <c r="J162" s="92"/>
      <c r="K162" s="92"/>
      <c r="L162" s="92"/>
      <c r="M162" s="93"/>
      <c r="N162" s="94" t="s">
        <v>43</v>
      </c>
      <c r="O162" s="95" t="s">
        <v>44</v>
      </c>
      <c r="P162" s="96" t="s">
        <v>68</v>
      </c>
      <c r="Q162" s="95" t="s">
        <v>45</v>
      </c>
      <c r="R162" s="95" t="s">
        <v>63</v>
      </c>
      <c r="S162" s="95" t="s">
        <v>6</v>
      </c>
      <c r="T162" s="95" t="s">
        <v>103</v>
      </c>
      <c r="U162" s="95" t="s">
        <v>104</v>
      </c>
      <c r="V162" s="95" t="s">
        <v>105</v>
      </c>
      <c r="W162" s="97" t="s">
        <v>10</v>
      </c>
      <c r="X162" s="98" t="s">
        <v>67</v>
      </c>
    </row>
    <row r="163" spans="1:24" x14ac:dyDescent="0.3">
      <c r="A163" s="48"/>
      <c r="B163" s="48"/>
      <c r="C163" s="48"/>
      <c r="D163" s="48"/>
      <c r="E163" s="48"/>
      <c r="F163" s="48"/>
      <c r="G163" s="48"/>
      <c r="H163" s="48"/>
      <c r="I163" s="216" t="s">
        <v>526</v>
      </c>
      <c r="J163" s="86"/>
      <c r="K163" s="86"/>
      <c r="L163" s="86"/>
      <c r="M163" s="157" t="s">
        <v>201</v>
      </c>
      <c r="N163" s="158">
        <v>0</v>
      </c>
      <c r="O163" s="158">
        <v>0</v>
      </c>
      <c r="P163" s="158">
        <f>ABS(P158)</f>
        <v>868561.21</v>
      </c>
      <c r="Q163" s="158">
        <f>+Q158</f>
        <v>0</v>
      </c>
      <c r="R163" s="158">
        <v>0</v>
      </c>
      <c r="S163" s="158">
        <f>+S158</f>
        <v>3984361.77</v>
      </c>
      <c r="T163" s="158">
        <v>0</v>
      </c>
      <c r="U163" s="158">
        <f>+U158</f>
        <v>464715</v>
      </c>
      <c r="V163" s="158">
        <v>0</v>
      </c>
      <c r="W163" s="158">
        <f>+SUM(Table6[[#This Row],[CMAQ]:[TA OVER 200K]])</f>
        <v>5317637.9800000004</v>
      </c>
      <c r="X163" s="158">
        <f>Table_Query_from_MS_Access_Database_2[EXPECTED DECLINING BALANCE OA]</f>
        <v>331512.77999999747</v>
      </c>
    </row>
    <row r="164" spans="1:24" x14ac:dyDescent="0.3">
      <c r="A164" s="48"/>
      <c r="B164" s="48"/>
      <c r="C164" s="48"/>
      <c r="D164" s="48"/>
      <c r="E164" s="48"/>
      <c r="F164" s="48"/>
      <c r="G164" s="48"/>
      <c r="H164" s="48"/>
      <c r="I164" s="216" t="s">
        <v>527</v>
      </c>
      <c r="J164" s="86"/>
      <c r="K164" s="86"/>
      <c r="L164" s="86"/>
      <c r="M164" s="157" t="s">
        <v>202</v>
      </c>
      <c r="N164" s="159">
        <v>0</v>
      </c>
      <c r="O164" s="159">
        <v>0</v>
      </c>
      <c r="P164" s="159">
        <f>SUMIFS(Table_Query_from_MS_Access_Database[[#All],[HSIP]],Table_Query_from_MS_Access_Database[[#All],[Transaction Year]],"2015",Table_Query_from_MS_Access_Database[[#All],[Transaction Type]],"Lapsing")</f>
        <v>0</v>
      </c>
      <c r="Q164" s="159">
        <f>SUMIFS(Table_Query_from_MS_Access_Database[[#All],[PL]],Table_Query_from_MS_Access_Database[[#All],[Transaction Year]],"2015",Table_Query_from_MS_Access_Database[[#All],[Transaction Type]],"Lapsing")</f>
        <v>0</v>
      </c>
      <c r="R164" s="159">
        <f>SUMIFS(Table_Query_from_MS_Access_Database[[#All],[SPR]],Table_Query_from_MS_Access_Database[[#All],[Transaction Year]],"2015",Table_Query_from_MS_Access_Database[[#All],[Transaction Type]],"Lapsing")</f>
        <v>0</v>
      </c>
      <c r="S164" s="159">
        <f>SUMIFS(Table_Query_from_MS_Access_Database[[#All],[STP other]],Table_Query_from_MS_Access_Database[[#All],[Transaction Year]],"2015",Table_Query_from_MS_Access_Database[[#All],[Transaction Type]],"Lapsing")</f>
        <v>0</v>
      </c>
      <c r="T164" s="159">
        <v>0</v>
      </c>
      <c r="U164" s="159">
        <f>SUMIFS(Table_Query_from_MS_Access_Database[[#All],[TA other]],Table_Query_from_MS_Access_Database[[#All],[Transaction Year]],"2015",Table_Query_from_MS_Access_Database[[#All],[Transaction Type]],"Lapsing")</f>
        <v>0</v>
      </c>
      <c r="V164" s="159">
        <v>0</v>
      </c>
      <c r="W164" s="159">
        <f>+SUM(Table6[[#This Row],[CMAQ]:[TA OVER 200K]])</f>
        <v>0</v>
      </c>
      <c r="X164" s="159">
        <f>SUMIFS(Table_Query_from_MS_Access_Database_16[[#All],[Total]],Table_Query_from_MS_Access_Database_16[[#All],[Transaction Year]],"2015",Table_Query_from_MS_Access_Database_16[[#All],[Transaction Type]],"Lapsing")</f>
        <v>0</v>
      </c>
    </row>
    <row r="165" spans="1:24" x14ac:dyDescent="0.3">
      <c r="A165" s="48"/>
      <c r="B165" s="48"/>
      <c r="C165" s="48"/>
      <c r="D165" s="48"/>
      <c r="E165" s="48"/>
      <c r="F165" s="48"/>
      <c r="G165" s="48"/>
      <c r="H165" s="48"/>
      <c r="I165" s="216" t="s">
        <v>528</v>
      </c>
      <c r="J165" s="86"/>
      <c r="K165" s="86"/>
      <c r="L165" s="86"/>
      <c r="M165" s="157" t="s">
        <v>203</v>
      </c>
      <c r="N165" s="158">
        <f>SUBTOTAL(109,N163:N164)</f>
        <v>0</v>
      </c>
      <c r="O165" s="158">
        <f>SUBTOTAL(109,O163:O164)</f>
        <v>0</v>
      </c>
      <c r="P165" s="158">
        <f>ABS(SUBTOTAL(109,P163:P164))</f>
        <v>868561.21</v>
      </c>
      <c r="Q165" s="158">
        <f t="shared" ref="Q165:V165" si="3">SUBTOTAL(109,Q163:Q164)</f>
        <v>0</v>
      </c>
      <c r="R165" s="158">
        <f t="shared" si="3"/>
        <v>0</v>
      </c>
      <c r="S165" s="158">
        <f t="shared" si="3"/>
        <v>3984361.77</v>
      </c>
      <c r="T165" s="158">
        <f t="shared" si="3"/>
        <v>0</v>
      </c>
      <c r="U165" s="158">
        <f t="shared" si="3"/>
        <v>464715</v>
      </c>
      <c r="V165" s="158">
        <f t="shared" si="3"/>
        <v>0</v>
      </c>
      <c r="W165" s="158">
        <f>+SUM(Table6[[#This Row],[CMAQ]:[TA OVER 200K]])</f>
        <v>5317637.9800000004</v>
      </c>
      <c r="X165" s="158">
        <f>X163-X166</f>
        <v>0</v>
      </c>
    </row>
    <row r="166" spans="1:24" x14ac:dyDescent="0.3">
      <c r="A166" s="48"/>
      <c r="B166" s="48"/>
      <c r="C166" s="48"/>
      <c r="D166" s="48"/>
      <c r="E166" s="48"/>
      <c r="F166" s="48"/>
      <c r="G166" s="48"/>
      <c r="H166" s="48"/>
      <c r="I166" s="217" t="s">
        <v>529</v>
      </c>
      <c r="J166" s="86"/>
      <c r="K166" s="86"/>
      <c r="L166" s="86"/>
      <c r="M166" s="160" t="s">
        <v>204</v>
      </c>
      <c r="N166" s="158">
        <f>+N158-N163</f>
        <v>6246711.1799999997</v>
      </c>
      <c r="O166" s="158">
        <f>+O158-O163</f>
        <v>493777</v>
      </c>
      <c r="P166" s="158">
        <f>+P158-P163</f>
        <v>0</v>
      </c>
      <c r="Q166" s="158">
        <f>+Q158-Q163</f>
        <v>0</v>
      </c>
      <c r="R166" s="158">
        <v>0</v>
      </c>
      <c r="S166" s="158">
        <f>+S158-S163</f>
        <v>0</v>
      </c>
      <c r="T166" s="158">
        <f>+T158-T163</f>
        <v>46615542.429999992</v>
      </c>
      <c r="U166" s="158">
        <f>+U158-U163</f>
        <v>0</v>
      </c>
      <c r="V166" s="158">
        <f>+V158-V163</f>
        <v>5169116.1500000004</v>
      </c>
      <c r="W166" s="158">
        <f>+SUM(Table6[[#This Row],[CMAQ]:[TA OVER 200K]])</f>
        <v>58525146.75999999</v>
      </c>
      <c r="X166" s="158">
        <f>X163</f>
        <v>331512.77999999747</v>
      </c>
    </row>
  </sheetData>
  <sheetProtection autoFilter="0"/>
  <mergeCells count="10">
    <mergeCell ref="A154:D154"/>
    <mergeCell ref="N1:X1"/>
    <mergeCell ref="N161:W161"/>
    <mergeCell ref="N2:W2"/>
    <mergeCell ref="A1:F1"/>
    <mergeCell ref="A16:D16"/>
    <mergeCell ref="A10:L10"/>
    <mergeCell ref="A3:D3"/>
    <mergeCell ref="A4:D4"/>
    <mergeCell ref="J16:M16"/>
  </mergeCells>
  <pageMargins left="0.5" right="0.25" top="0.75" bottom="0.75" header="0.3" footer="0.3"/>
  <pageSetup paperSize="17" scale="73" fitToHeight="0" orientation="landscape" horizontalDpi="1200" verticalDpi="1200" r:id="rId1"/>
  <headerFooter>
    <oddFooter>&amp;L&amp;8&amp;Z&amp;F&amp;R&amp;P of &amp;N</oddFooter>
  </headerFooter>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89"/>
  <sheetViews>
    <sheetView zoomScale="90" zoomScaleNormal="90" workbookViewId="0">
      <selection sqref="A1:F1"/>
    </sheetView>
  </sheetViews>
  <sheetFormatPr defaultColWidth="19.6640625" defaultRowHeight="14.4" x14ac:dyDescent="0.3"/>
  <cols>
    <col min="1" max="1" width="19.33203125" style="24" customWidth="1"/>
    <col min="2" max="2" width="19.6640625" style="24" customWidth="1"/>
    <col min="3" max="3" width="17.21875" style="24" customWidth="1"/>
    <col min="4" max="4" width="19.44140625" style="24" customWidth="1"/>
    <col min="5" max="5" width="14.21875" style="24" customWidth="1"/>
    <col min="6" max="6" width="10.44140625" style="24" customWidth="1"/>
    <col min="7" max="7" width="14.21875" style="24" customWidth="1"/>
    <col min="8" max="8" width="12.5546875" style="25" customWidth="1"/>
    <col min="9" max="9" width="6.77734375" style="24" customWidth="1"/>
    <col min="10" max="10" width="13.21875" style="24" customWidth="1"/>
    <col min="11" max="11" width="14.21875" style="24" customWidth="1"/>
    <col min="12" max="12" width="17.44140625" style="24" customWidth="1"/>
    <col min="13" max="13" width="12.33203125" style="24" customWidth="1"/>
    <col min="14" max="14" width="16.44140625" style="24" customWidth="1"/>
    <col min="15" max="16" width="9.77734375" style="24" customWidth="1"/>
    <col min="17" max="17" width="19.109375" style="24" customWidth="1"/>
    <col min="18" max="18" width="57.88671875" style="24" customWidth="1"/>
    <col min="19" max="20" width="9.5546875" style="24" customWidth="1"/>
    <col min="21" max="21" width="11.88671875" style="24" customWidth="1"/>
    <col min="22" max="22" width="64.33203125" style="24" customWidth="1"/>
    <col min="23" max="23" width="14" style="24" customWidth="1"/>
    <col min="24" max="24" width="16.88671875" style="24" customWidth="1"/>
    <col min="25" max="25" width="12.109375" style="24" customWidth="1"/>
    <col min="26" max="26" width="16" style="24" customWidth="1"/>
    <col min="27" max="16384" width="19.6640625" style="9"/>
  </cols>
  <sheetData>
    <row r="1" spans="1:26" ht="18.600000000000001" x14ac:dyDescent="0.35">
      <c r="A1" s="242" t="str">
        <f>+'Federal Funds Transactions'!A1:F1</f>
        <v>Maricopa Association of Goverments</v>
      </c>
      <c r="B1" s="242"/>
      <c r="C1" s="242"/>
      <c r="D1" s="242"/>
      <c r="E1" s="242"/>
      <c r="F1" s="242"/>
    </row>
    <row r="2" spans="1:26" x14ac:dyDescent="0.35">
      <c r="A2" s="26"/>
      <c r="B2" s="26"/>
      <c r="C2" s="26"/>
      <c r="D2" s="26"/>
      <c r="E2" s="26"/>
      <c r="F2" s="26"/>
    </row>
    <row r="3" spans="1:26" x14ac:dyDescent="0.35">
      <c r="A3" s="243" t="s">
        <v>92</v>
      </c>
      <c r="B3" s="243"/>
      <c r="C3" s="243"/>
      <c r="D3" s="243"/>
      <c r="E3" s="243"/>
      <c r="F3" s="243"/>
    </row>
    <row r="4" spans="1:26" x14ac:dyDescent="0.35">
      <c r="A4" s="27"/>
      <c r="B4" s="27"/>
      <c r="C4" s="27"/>
      <c r="D4" s="27"/>
      <c r="E4" s="27"/>
      <c r="F4" s="27"/>
    </row>
    <row r="5" spans="1:26" x14ac:dyDescent="0.35">
      <c r="A5" s="24" t="s">
        <v>91</v>
      </c>
      <c r="B5" s="54">
        <f>+'Federal Funds Transactions'!C5</f>
        <v>43008</v>
      </c>
      <c r="C5" s="26"/>
      <c r="D5" s="26"/>
      <c r="E5" s="26"/>
      <c r="F5" s="26"/>
    </row>
    <row r="6" spans="1:26" x14ac:dyDescent="0.35">
      <c r="A6" s="26"/>
      <c r="B6" s="26"/>
      <c r="C6" s="26"/>
      <c r="D6" s="26"/>
      <c r="E6" s="26"/>
      <c r="F6" s="26"/>
    </row>
    <row r="7" spans="1:26" ht="15" customHeight="1" x14ac:dyDescent="0.35">
      <c r="A7" s="246" t="str">
        <f>+'Federal Funds Transactions'!A10:L10</f>
        <v>IMPORTANT! Please review the information in the Notes tab for further explanation of the data in this document.</v>
      </c>
      <c r="B7" s="246"/>
      <c r="C7" s="246"/>
      <c r="D7" s="246"/>
      <c r="E7" s="246"/>
      <c r="F7" s="246"/>
      <c r="G7" s="246"/>
      <c r="H7" s="246"/>
    </row>
    <row r="9" spans="1:26" ht="15.75" customHeight="1" x14ac:dyDescent="0.35">
      <c r="A9" s="244" t="s">
        <v>88</v>
      </c>
      <c r="B9" s="244"/>
      <c r="C9" s="244"/>
      <c r="D9" s="244"/>
      <c r="E9" s="244"/>
      <c r="F9" s="244"/>
      <c r="G9" s="244"/>
      <c r="M9" s="28"/>
      <c r="N9" s="28"/>
      <c r="O9" s="28"/>
      <c r="P9" s="28"/>
      <c r="Q9" s="28"/>
      <c r="R9" s="28"/>
      <c r="S9" s="28"/>
      <c r="T9" s="28"/>
      <c r="U9" s="28"/>
      <c r="V9" s="28"/>
      <c r="W9" s="28"/>
      <c r="X9" s="28"/>
    </row>
    <row r="10" spans="1:26" ht="15.6" x14ac:dyDescent="0.3">
      <c r="A10" s="29"/>
      <c r="B10" s="29"/>
      <c r="C10" s="29"/>
      <c r="D10" s="29"/>
      <c r="E10" s="30"/>
      <c r="F10" s="30"/>
      <c r="G10" s="30"/>
      <c r="H10" s="31"/>
      <c r="I10" s="30"/>
      <c r="J10" s="30"/>
      <c r="K10" s="30"/>
      <c r="L10" s="30"/>
      <c r="M10" s="28"/>
      <c r="N10" s="28"/>
      <c r="O10" s="28"/>
      <c r="P10" s="28"/>
      <c r="Q10" s="28"/>
      <c r="R10" s="28"/>
      <c r="S10" s="28"/>
      <c r="T10" s="28"/>
      <c r="U10" s="28"/>
      <c r="V10" s="28"/>
      <c r="W10" s="28"/>
      <c r="X10" s="28"/>
      <c r="Y10" s="30"/>
      <c r="Z10" s="30"/>
    </row>
    <row r="11" spans="1:26" x14ac:dyDescent="0.3">
      <c r="A11" s="57" t="s">
        <v>49</v>
      </c>
      <c r="B11" s="58" t="s">
        <v>50</v>
      </c>
      <c r="C11" s="58" t="s">
        <v>13</v>
      </c>
      <c r="D11" s="58" t="s">
        <v>51</v>
      </c>
      <c r="E11" s="58" t="s">
        <v>10</v>
      </c>
      <c r="F11" s="58" t="s">
        <v>43</v>
      </c>
      <c r="G11" s="58" t="s">
        <v>44</v>
      </c>
      <c r="H11" s="58" t="s">
        <v>4</v>
      </c>
      <c r="I11" s="58" t="s">
        <v>45</v>
      </c>
      <c r="J11" s="58" t="s">
        <v>5</v>
      </c>
      <c r="K11" s="58" t="s">
        <v>6</v>
      </c>
      <c r="L11" s="58" t="s">
        <v>46</v>
      </c>
      <c r="M11" s="58" t="s">
        <v>47</v>
      </c>
      <c r="N11" s="58" t="s">
        <v>48</v>
      </c>
      <c r="O11" s="58" t="s">
        <v>97</v>
      </c>
      <c r="P11" s="58" t="s">
        <v>98</v>
      </c>
      <c r="Q11" s="58" t="s">
        <v>99</v>
      </c>
      <c r="R11" s="59" t="s">
        <v>100</v>
      </c>
      <c r="S11" s="30"/>
      <c r="T11" s="30"/>
      <c r="U11" s="30"/>
      <c r="V11" s="30"/>
      <c r="W11" s="9"/>
      <c r="X11" s="9"/>
      <c r="Y11" s="9"/>
      <c r="Z11" s="9"/>
    </row>
    <row r="12" spans="1:26" s="123" customFormat="1" ht="13.2" x14ac:dyDescent="0.3">
      <c r="A12" s="119" t="s">
        <v>111</v>
      </c>
      <c r="B12" s="120" t="s">
        <v>110</v>
      </c>
      <c r="C12" s="120" t="s">
        <v>112</v>
      </c>
      <c r="D12" s="120" t="s">
        <v>113</v>
      </c>
      <c r="E12" s="120">
        <v>1250000</v>
      </c>
      <c r="F12" s="120"/>
      <c r="G12" s="120"/>
      <c r="H12" s="120"/>
      <c r="I12" s="120"/>
      <c r="J12" s="120">
        <v>1250000</v>
      </c>
      <c r="K12" s="120"/>
      <c r="L12" s="120"/>
      <c r="M12" s="120"/>
      <c r="N12" s="120"/>
      <c r="O12" s="120" t="s">
        <v>109</v>
      </c>
      <c r="P12" s="120" t="s">
        <v>52</v>
      </c>
      <c r="Q12" s="120"/>
      <c r="R12" s="121" t="s">
        <v>114</v>
      </c>
      <c r="S12" s="122"/>
      <c r="T12" s="122"/>
      <c r="U12" s="122"/>
      <c r="V12" s="122"/>
    </row>
    <row r="13" spans="1:26" s="123" customFormat="1" ht="13.2" x14ac:dyDescent="0.3">
      <c r="A13" s="119" t="s">
        <v>111</v>
      </c>
      <c r="B13" s="120" t="s">
        <v>110</v>
      </c>
      <c r="C13" s="120" t="s">
        <v>115</v>
      </c>
      <c r="D13" s="120"/>
      <c r="E13" s="120">
        <v>1015069</v>
      </c>
      <c r="F13" s="120"/>
      <c r="G13" s="120"/>
      <c r="H13" s="120"/>
      <c r="I13" s="120"/>
      <c r="J13" s="120"/>
      <c r="K13" s="120">
        <v>1015069</v>
      </c>
      <c r="L13" s="120"/>
      <c r="M13" s="120"/>
      <c r="N13" s="120"/>
      <c r="O13" s="120" t="s">
        <v>52</v>
      </c>
      <c r="P13" s="120" t="s">
        <v>116</v>
      </c>
      <c r="Q13" s="120"/>
      <c r="R13" s="121" t="s">
        <v>117</v>
      </c>
      <c r="S13" s="122"/>
      <c r="T13" s="122"/>
      <c r="U13" s="122"/>
      <c r="V13" s="122"/>
    </row>
    <row r="14" spans="1:26" s="123" customFormat="1" ht="13.2" x14ac:dyDescent="0.3">
      <c r="A14" s="119" t="s">
        <v>111</v>
      </c>
      <c r="B14" s="120" t="s">
        <v>95</v>
      </c>
      <c r="C14" s="120" t="s">
        <v>118</v>
      </c>
      <c r="D14" s="120" t="s">
        <v>120</v>
      </c>
      <c r="E14" s="120">
        <v>565445</v>
      </c>
      <c r="F14" s="120"/>
      <c r="G14" s="120"/>
      <c r="H14" s="120"/>
      <c r="I14" s="120"/>
      <c r="J14" s="120"/>
      <c r="K14" s="120">
        <v>565445</v>
      </c>
      <c r="L14" s="120"/>
      <c r="M14" s="120"/>
      <c r="N14" s="120"/>
      <c r="O14" s="120" t="s">
        <v>119</v>
      </c>
      <c r="P14" s="120" t="s">
        <v>52</v>
      </c>
      <c r="Q14" s="120"/>
      <c r="R14" s="121" t="s">
        <v>121</v>
      </c>
      <c r="S14" s="122"/>
      <c r="T14" s="122"/>
      <c r="U14" s="122"/>
      <c r="V14" s="122"/>
    </row>
    <row r="15" spans="1:26" s="123" customFormat="1" ht="13.2" x14ac:dyDescent="0.3">
      <c r="A15" s="119" t="s">
        <v>111</v>
      </c>
      <c r="B15" s="120" t="s">
        <v>95</v>
      </c>
      <c r="C15" s="120" t="s">
        <v>122</v>
      </c>
      <c r="D15" s="120" t="s">
        <v>111</v>
      </c>
      <c r="E15" s="120">
        <v>1722861</v>
      </c>
      <c r="F15" s="120"/>
      <c r="G15" s="120"/>
      <c r="H15" s="120">
        <v>1722861</v>
      </c>
      <c r="I15" s="120"/>
      <c r="J15" s="120"/>
      <c r="K15" s="120"/>
      <c r="L15" s="120"/>
      <c r="M15" s="120"/>
      <c r="N15" s="120"/>
      <c r="O15" s="120" t="s">
        <v>109</v>
      </c>
      <c r="P15" s="120" t="s">
        <v>52</v>
      </c>
      <c r="Q15" s="120" t="s">
        <v>123</v>
      </c>
      <c r="R15" s="121" t="s">
        <v>124</v>
      </c>
      <c r="S15" s="122"/>
      <c r="T15" s="122"/>
      <c r="U15" s="122"/>
      <c r="V15" s="122"/>
    </row>
    <row r="16" spans="1:26" s="123" customFormat="1" ht="13.2" x14ac:dyDescent="0.3">
      <c r="A16" s="119" t="s">
        <v>111</v>
      </c>
      <c r="B16" s="120" t="s">
        <v>95</v>
      </c>
      <c r="C16" s="120" t="s">
        <v>125</v>
      </c>
      <c r="D16" s="120" t="s">
        <v>111</v>
      </c>
      <c r="E16" s="120">
        <v>647765</v>
      </c>
      <c r="F16" s="120"/>
      <c r="G16" s="120"/>
      <c r="H16" s="120">
        <v>647765</v>
      </c>
      <c r="I16" s="120"/>
      <c r="J16" s="120"/>
      <c r="K16" s="120"/>
      <c r="L16" s="120"/>
      <c r="M16" s="120"/>
      <c r="N16" s="120"/>
      <c r="O16" s="120" t="s">
        <v>109</v>
      </c>
      <c r="P16" s="120" t="s">
        <v>52</v>
      </c>
      <c r="Q16" s="120" t="s">
        <v>126</v>
      </c>
      <c r="R16" s="121" t="s">
        <v>124</v>
      </c>
      <c r="S16" s="122"/>
      <c r="T16" s="122"/>
      <c r="U16" s="122"/>
      <c r="V16" s="122"/>
    </row>
    <row r="17" spans="1:26" s="123" customFormat="1" ht="13.2" x14ac:dyDescent="0.3">
      <c r="A17" s="124" t="s">
        <v>111</v>
      </c>
      <c r="B17" s="125" t="s">
        <v>95</v>
      </c>
      <c r="C17" s="125" t="s">
        <v>127</v>
      </c>
      <c r="D17" s="125" t="s">
        <v>111</v>
      </c>
      <c r="E17" s="125">
        <v>775618</v>
      </c>
      <c r="F17" s="125"/>
      <c r="G17" s="125"/>
      <c r="H17" s="125">
        <v>775618</v>
      </c>
      <c r="I17" s="125"/>
      <c r="J17" s="125"/>
      <c r="K17" s="125"/>
      <c r="L17" s="125"/>
      <c r="M17" s="125"/>
      <c r="N17" s="125"/>
      <c r="O17" s="125" t="s">
        <v>109</v>
      </c>
      <c r="P17" s="125" t="s">
        <v>52</v>
      </c>
      <c r="Q17" s="125" t="s">
        <v>128</v>
      </c>
      <c r="R17" s="126" t="s">
        <v>124</v>
      </c>
      <c r="S17" s="122"/>
      <c r="T17" s="122"/>
      <c r="U17" s="122"/>
      <c r="V17" s="122"/>
    </row>
    <row r="18" spans="1:26" s="123" customFormat="1" ht="13.2" x14ac:dyDescent="0.3">
      <c r="A18" s="119" t="s">
        <v>111</v>
      </c>
      <c r="B18" s="120" t="s">
        <v>95</v>
      </c>
      <c r="C18" s="120" t="s">
        <v>129</v>
      </c>
      <c r="D18" s="120" t="s">
        <v>111</v>
      </c>
      <c r="E18" s="120">
        <v>203637</v>
      </c>
      <c r="F18" s="120"/>
      <c r="G18" s="120"/>
      <c r="H18" s="120">
        <v>203637</v>
      </c>
      <c r="I18" s="120"/>
      <c r="J18" s="120"/>
      <c r="K18" s="120"/>
      <c r="L18" s="120"/>
      <c r="M18" s="120"/>
      <c r="N18" s="120"/>
      <c r="O18" s="120" t="s">
        <v>109</v>
      </c>
      <c r="P18" s="120" t="s">
        <v>52</v>
      </c>
      <c r="Q18" s="120" t="s">
        <v>130</v>
      </c>
      <c r="R18" s="121" t="s">
        <v>124</v>
      </c>
      <c r="S18" s="122"/>
      <c r="T18" s="122"/>
      <c r="U18" s="122"/>
      <c r="V18" s="122"/>
      <c r="W18" s="127"/>
      <c r="X18" s="127"/>
      <c r="Y18" s="127"/>
      <c r="Z18" s="127"/>
    </row>
    <row r="19" spans="1:26" s="123" customFormat="1" ht="13.2" x14ac:dyDescent="0.3">
      <c r="A19" s="119" t="s">
        <v>113</v>
      </c>
      <c r="B19" s="120" t="s">
        <v>164</v>
      </c>
      <c r="C19" s="120" t="s">
        <v>165</v>
      </c>
      <c r="D19" s="120" t="s">
        <v>120</v>
      </c>
      <c r="E19" s="120">
        <v>-12825755.34</v>
      </c>
      <c r="F19" s="120"/>
      <c r="G19" s="120"/>
      <c r="H19" s="120">
        <v>-0.34</v>
      </c>
      <c r="I19" s="120"/>
      <c r="J19" s="120"/>
      <c r="K19" s="120">
        <v>-12360067</v>
      </c>
      <c r="L19" s="120"/>
      <c r="M19" s="120">
        <v>-465688</v>
      </c>
      <c r="N19" s="120"/>
      <c r="O19" s="120" t="s">
        <v>52</v>
      </c>
      <c r="P19" s="120" t="s">
        <v>109</v>
      </c>
      <c r="Q19" s="120"/>
      <c r="R19" s="121" t="s">
        <v>166</v>
      </c>
      <c r="S19" s="122"/>
      <c r="T19" s="122"/>
      <c r="U19" s="122"/>
      <c r="V19" s="122"/>
      <c r="W19" s="127"/>
      <c r="X19" s="127"/>
      <c r="Y19" s="127"/>
      <c r="Z19" s="127"/>
    </row>
    <row r="20" spans="1:26" s="123" customFormat="1" ht="13.2" x14ac:dyDescent="0.3">
      <c r="A20" s="119" t="s">
        <v>113</v>
      </c>
      <c r="B20" s="120" t="s">
        <v>110</v>
      </c>
      <c r="C20" s="120" t="s">
        <v>171</v>
      </c>
      <c r="D20" s="120" t="s">
        <v>132</v>
      </c>
      <c r="E20" s="120">
        <v>49157</v>
      </c>
      <c r="F20" s="120"/>
      <c r="G20" s="120"/>
      <c r="H20" s="120">
        <v>49157</v>
      </c>
      <c r="I20" s="120"/>
      <c r="J20" s="120"/>
      <c r="K20" s="120"/>
      <c r="L20" s="120"/>
      <c r="M20" s="120"/>
      <c r="N20" s="120"/>
      <c r="O20" s="120" t="s">
        <v>109</v>
      </c>
      <c r="P20" s="120" t="s">
        <v>52</v>
      </c>
      <c r="Q20" s="120"/>
      <c r="R20" s="121" t="s">
        <v>172</v>
      </c>
      <c r="S20" s="122"/>
      <c r="T20" s="122"/>
      <c r="U20" s="122"/>
      <c r="V20" s="122"/>
      <c r="W20" s="127"/>
      <c r="X20" s="127"/>
      <c r="Y20" s="127"/>
      <c r="Z20" s="127"/>
    </row>
    <row r="21" spans="1:26" s="123" customFormat="1" ht="13.2" x14ac:dyDescent="0.3">
      <c r="A21" s="119" t="s">
        <v>113</v>
      </c>
      <c r="B21" s="120" t="s">
        <v>110</v>
      </c>
      <c r="C21" s="120" t="s">
        <v>141</v>
      </c>
      <c r="D21" s="120" t="s">
        <v>143</v>
      </c>
      <c r="E21" s="120">
        <v>4252198</v>
      </c>
      <c r="F21" s="120"/>
      <c r="G21" s="120"/>
      <c r="H21" s="120"/>
      <c r="I21" s="120"/>
      <c r="J21" s="120"/>
      <c r="K21" s="120">
        <v>4252198</v>
      </c>
      <c r="L21" s="120"/>
      <c r="M21" s="120"/>
      <c r="N21" s="120"/>
      <c r="O21" s="120" t="s">
        <v>142</v>
      </c>
      <c r="P21" s="120" t="s">
        <v>52</v>
      </c>
      <c r="Q21" s="120"/>
      <c r="R21" s="121" t="s">
        <v>144</v>
      </c>
      <c r="S21" s="122"/>
      <c r="T21" s="122"/>
      <c r="U21" s="122"/>
      <c r="V21" s="122"/>
      <c r="W21" s="127"/>
      <c r="X21" s="127"/>
      <c r="Y21" s="127"/>
      <c r="Z21" s="127"/>
    </row>
    <row r="22" spans="1:26" s="123" customFormat="1" ht="13.2" x14ac:dyDescent="0.3">
      <c r="A22" s="119" t="s">
        <v>113</v>
      </c>
      <c r="B22" s="120" t="s">
        <v>94</v>
      </c>
      <c r="C22" s="120" t="s">
        <v>112</v>
      </c>
      <c r="D22" s="120" t="s">
        <v>113</v>
      </c>
      <c r="E22" s="120">
        <v>-1250000</v>
      </c>
      <c r="F22" s="120"/>
      <c r="G22" s="120"/>
      <c r="H22" s="120"/>
      <c r="I22" s="120"/>
      <c r="J22" s="120">
        <v>-1250000</v>
      </c>
      <c r="K22" s="120"/>
      <c r="L22" s="120"/>
      <c r="M22" s="120"/>
      <c r="N22" s="120"/>
      <c r="O22" s="120" t="s">
        <v>52</v>
      </c>
      <c r="P22" s="120" t="s">
        <v>109</v>
      </c>
      <c r="Q22" s="120"/>
      <c r="R22" s="121" t="s">
        <v>131</v>
      </c>
      <c r="S22" s="122"/>
      <c r="T22" s="122"/>
      <c r="U22" s="122"/>
      <c r="V22" s="122"/>
      <c r="W22" s="127"/>
      <c r="X22" s="127"/>
      <c r="Y22" s="127"/>
      <c r="Z22" s="127"/>
    </row>
    <row r="23" spans="1:26" s="123" customFormat="1" ht="13.2" x14ac:dyDescent="0.3">
      <c r="A23" s="119" t="s">
        <v>132</v>
      </c>
      <c r="B23" s="120" t="s">
        <v>94</v>
      </c>
      <c r="C23" s="120" t="s">
        <v>171</v>
      </c>
      <c r="D23" s="120"/>
      <c r="E23" s="120">
        <v>-49157</v>
      </c>
      <c r="F23" s="120"/>
      <c r="G23" s="120"/>
      <c r="H23" s="120">
        <v>-49157</v>
      </c>
      <c r="I23" s="120"/>
      <c r="J23" s="120"/>
      <c r="K23" s="120"/>
      <c r="L23" s="120"/>
      <c r="M23" s="120"/>
      <c r="N23" s="120"/>
      <c r="O23" s="120" t="s">
        <v>52</v>
      </c>
      <c r="P23" s="120" t="s">
        <v>109</v>
      </c>
      <c r="Q23" s="120"/>
      <c r="R23" s="121" t="s">
        <v>172</v>
      </c>
      <c r="S23" s="122"/>
      <c r="T23" s="122"/>
      <c r="U23" s="122"/>
      <c r="V23" s="122"/>
      <c r="W23" s="127"/>
      <c r="X23" s="127"/>
      <c r="Y23" s="127"/>
      <c r="Z23" s="127"/>
    </row>
    <row r="24" spans="1:26" s="123" customFormat="1" ht="13.2" x14ac:dyDescent="0.3">
      <c r="A24" s="119" t="s">
        <v>132</v>
      </c>
      <c r="B24" s="120" t="s">
        <v>94</v>
      </c>
      <c r="C24" s="120" t="s">
        <v>115</v>
      </c>
      <c r="D24" s="120" t="s">
        <v>132</v>
      </c>
      <c r="E24" s="120">
        <v>-1015069</v>
      </c>
      <c r="F24" s="120"/>
      <c r="G24" s="120"/>
      <c r="H24" s="120"/>
      <c r="I24" s="120"/>
      <c r="J24" s="120"/>
      <c r="K24" s="120">
        <v>-1015069</v>
      </c>
      <c r="L24" s="120"/>
      <c r="M24" s="120"/>
      <c r="N24" s="120"/>
      <c r="O24" s="120" t="s">
        <v>116</v>
      </c>
      <c r="P24" s="120" t="s">
        <v>52</v>
      </c>
      <c r="Q24" s="120"/>
      <c r="R24" s="121" t="s">
        <v>133</v>
      </c>
      <c r="S24" s="122"/>
      <c r="T24" s="122"/>
      <c r="U24" s="122"/>
      <c r="V24" s="122"/>
      <c r="W24" s="127"/>
      <c r="X24" s="127"/>
      <c r="Y24" s="127"/>
      <c r="Z24" s="127"/>
    </row>
    <row r="25" spans="1:26" s="123" customFormat="1" ht="13.2" x14ac:dyDescent="0.3">
      <c r="A25" s="119" t="s">
        <v>145</v>
      </c>
      <c r="B25" s="120" t="s">
        <v>110</v>
      </c>
      <c r="C25" s="120" t="s">
        <v>209</v>
      </c>
      <c r="D25" s="120" t="s">
        <v>146</v>
      </c>
      <c r="E25" s="120">
        <v>633480</v>
      </c>
      <c r="F25" s="120"/>
      <c r="G25" s="120"/>
      <c r="H25" s="120"/>
      <c r="I25" s="120"/>
      <c r="J25" s="120"/>
      <c r="K25" s="120">
        <v>633480</v>
      </c>
      <c r="L25" s="120"/>
      <c r="M25" s="120"/>
      <c r="N25" s="120"/>
      <c r="O25" s="120" t="s">
        <v>210</v>
      </c>
      <c r="P25" s="120" t="s">
        <v>52</v>
      </c>
      <c r="Q25" s="120"/>
      <c r="R25" s="121" t="s">
        <v>211</v>
      </c>
      <c r="S25" s="122"/>
      <c r="T25" s="122"/>
      <c r="U25" s="122"/>
      <c r="V25" s="122"/>
      <c r="W25" s="127"/>
      <c r="X25" s="127"/>
      <c r="Y25" s="127"/>
      <c r="Z25" s="127"/>
    </row>
    <row r="26" spans="1:26" x14ac:dyDescent="0.3">
      <c r="A26" s="124" t="s">
        <v>145</v>
      </c>
      <c r="B26" s="125" t="s">
        <v>110</v>
      </c>
      <c r="C26" s="125" t="s">
        <v>212</v>
      </c>
      <c r="D26" s="125" t="s">
        <v>147</v>
      </c>
      <c r="E26" s="125">
        <v>473063</v>
      </c>
      <c r="F26" s="125"/>
      <c r="G26" s="125"/>
      <c r="H26" s="125">
        <v>473063</v>
      </c>
      <c r="I26" s="125"/>
      <c r="J26" s="125"/>
      <c r="K26" s="125"/>
      <c r="L26" s="125"/>
      <c r="M26" s="125"/>
      <c r="N26" s="125"/>
      <c r="O26" s="125" t="s">
        <v>213</v>
      </c>
      <c r="P26" s="125" t="s">
        <v>52</v>
      </c>
      <c r="Q26" s="125"/>
      <c r="R26" s="126" t="s">
        <v>214</v>
      </c>
      <c r="S26" s="56"/>
      <c r="T26" s="56"/>
      <c r="U26" s="56"/>
      <c r="V26" s="56"/>
    </row>
    <row r="27" spans="1:26" x14ac:dyDescent="0.3">
      <c r="A27" s="131" t="s">
        <v>145</v>
      </c>
      <c r="B27" s="132" t="s">
        <v>167</v>
      </c>
      <c r="C27" s="132" t="s">
        <v>420</v>
      </c>
      <c r="D27" s="132" t="s">
        <v>146</v>
      </c>
      <c r="E27" s="132">
        <v>-449400</v>
      </c>
      <c r="F27" s="132"/>
      <c r="G27" s="132"/>
      <c r="H27" s="132">
        <v>-449400</v>
      </c>
      <c r="I27" s="132"/>
      <c r="J27" s="132"/>
      <c r="K27" s="132"/>
      <c r="L27" s="132"/>
      <c r="M27" s="132"/>
      <c r="N27" s="132"/>
      <c r="O27" s="132" t="s">
        <v>52</v>
      </c>
      <c r="P27" s="132" t="s">
        <v>109</v>
      </c>
      <c r="Q27" s="132" t="s">
        <v>421</v>
      </c>
      <c r="R27" s="133" t="s">
        <v>422</v>
      </c>
      <c r="S27" s="56"/>
      <c r="T27" s="56"/>
      <c r="U27" s="56"/>
      <c r="V27" s="56"/>
    </row>
    <row r="28" spans="1:26" x14ac:dyDescent="0.3">
      <c r="A28" s="134" t="s">
        <v>145</v>
      </c>
      <c r="B28" s="135" t="s">
        <v>167</v>
      </c>
      <c r="C28" s="135" t="s">
        <v>420</v>
      </c>
      <c r="D28" s="135" t="s">
        <v>147</v>
      </c>
      <c r="E28" s="135">
        <v>-324440</v>
      </c>
      <c r="F28" s="135"/>
      <c r="G28" s="135"/>
      <c r="H28" s="135">
        <v>-324440</v>
      </c>
      <c r="I28" s="135"/>
      <c r="J28" s="135"/>
      <c r="K28" s="135"/>
      <c r="L28" s="135"/>
      <c r="M28" s="135"/>
      <c r="N28" s="135"/>
      <c r="O28" s="135" t="s">
        <v>52</v>
      </c>
      <c r="P28" s="135" t="s">
        <v>109</v>
      </c>
      <c r="Q28" s="135" t="s">
        <v>423</v>
      </c>
      <c r="R28" s="136" t="s">
        <v>422</v>
      </c>
      <c r="S28" s="56"/>
      <c r="T28" s="56"/>
      <c r="U28" s="56"/>
      <c r="V28" s="56"/>
      <c r="W28" s="73"/>
      <c r="X28" s="73"/>
      <c r="Y28" s="73"/>
      <c r="Z28" s="73"/>
    </row>
    <row r="29" spans="1:26" x14ac:dyDescent="0.3">
      <c r="A29" s="165" t="s">
        <v>145</v>
      </c>
      <c r="B29" s="167" t="s">
        <v>94</v>
      </c>
      <c r="C29" s="167" t="s">
        <v>141</v>
      </c>
      <c r="D29" s="167" t="s">
        <v>145</v>
      </c>
      <c r="E29" s="167">
        <v>-1200000</v>
      </c>
      <c r="F29" s="167"/>
      <c r="G29" s="167"/>
      <c r="H29" s="167"/>
      <c r="I29" s="167"/>
      <c r="J29" s="167"/>
      <c r="K29" s="167">
        <v>-1200000</v>
      </c>
      <c r="L29" s="167"/>
      <c r="M29" s="167"/>
      <c r="N29" s="167"/>
      <c r="O29" s="167" t="s">
        <v>52</v>
      </c>
      <c r="P29" s="167" t="s">
        <v>142</v>
      </c>
      <c r="Q29" s="167"/>
      <c r="R29" s="169" t="s">
        <v>144</v>
      </c>
      <c r="S29" s="56"/>
      <c r="T29" s="56"/>
      <c r="U29" s="56"/>
      <c r="V29" s="56"/>
      <c r="W29" s="73"/>
      <c r="X29" s="73"/>
      <c r="Y29" s="73"/>
      <c r="Z29" s="73"/>
    </row>
    <row r="30" spans="1:26" x14ac:dyDescent="0.3">
      <c r="A30" s="166" t="s">
        <v>145</v>
      </c>
      <c r="B30" s="168" t="s">
        <v>217</v>
      </c>
      <c r="C30" s="168" t="s">
        <v>218</v>
      </c>
      <c r="D30" s="168" t="s">
        <v>120</v>
      </c>
      <c r="E30" s="168">
        <v>-80000000</v>
      </c>
      <c r="F30" s="168"/>
      <c r="G30" s="168"/>
      <c r="H30" s="168"/>
      <c r="I30" s="168"/>
      <c r="J30" s="168"/>
      <c r="K30" s="168"/>
      <c r="L30" s="168">
        <v>-80000000</v>
      </c>
      <c r="M30" s="168"/>
      <c r="N30" s="168"/>
      <c r="O30" s="168" t="s">
        <v>52</v>
      </c>
      <c r="P30" s="168" t="s">
        <v>109</v>
      </c>
      <c r="Q30" s="168" t="s">
        <v>219</v>
      </c>
      <c r="R30" s="170" t="s">
        <v>220</v>
      </c>
      <c r="S30" s="56"/>
      <c r="T30" s="56"/>
      <c r="U30" s="56"/>
      <c r="V30" s="56"/>
      <c r="W30" s="73"/>
      <c r="X30" s="73"/>
      <c r="Y30" s="73"/>
      <c r="Z30" s="73"/>
    </row>
    <row r="31" spans="1:26" x14ac:dyDescent="0.3">
      <c r="A31" s="173" t="s">
        <v>146</v>
      </c>
      <c r="B31" s="175" t="s">
        <v>110</v>
      </c>
      <c r="C31" s="175" t="s">
        <v>563</v>
      </c>
      <c r="D31" s="175" t="s">
        <v>601</v>
      </c>
      <c r="E31" s="175">
        <v>196124</v>
      </c>
      <c r="F31" s="175"/>
      <c r="G31" s="175"/>
      <c r="H31" s="175"/>
      <c r="I31" s="175"/>
      <c r="J31" s="175"/>
      <c r="K31" s="175">
        <v>196124</v>
      </c>
      <c r="L31" s="175"/>
      <c r="M31" s="175"/>
      <c r="N31" s="175"/>
      <c r="O31" s="175" t="s">
        <v>210</v>
      </c>
      <c r="P31" s="175" t="s">
        <v>52</v>
      </c>
      <c r="Q31" s="175"/>
      <c r="R31" s="177" t="s">
        <v>211</v>
      </c>
      <c r="S31" s="56"/>
      <c r="T31" s="56"/>
      <c r="U31" s="56"/>
      <c r="V31" s="56"/>
      <c r="W31" s="73"/>
      <c r="X31" s="73"/>
      <c r="Y31" s="73"/>
      <c r="Z31" s="73"/>
    </row>
    <row r="32" spans="1:26" x14ac:dyDescent="0.3">
      <c r="A32" s="174" t="s">
        <v>146</v>
      </c>
      <c r="B32" s="176" t="s">
        <v>110</v>
      </c>
      <c r="C32" s="176" t="s">
        <v>564</v>
      </c>
      <c r="D32" s="176" t="s">
        <v>148</v>
      </c>
      <c r="E32" s="176">
        <v>1212842</v>
      </c>
      <c r="F32" s="176"/>
      <c r="G32" s="176"/>
      <c r="H32" s="176"/>
      <c r="I32" s="176"/>
      <c r="J32" s="176"/>
      <c r="K32" s="176">
        <v>1212842</v>
      </c>
      <c r="L32" s="176"/>
      <c r="M32" s="176"/>
      <c r="N32" s="176"/>
      <c r="O32" s="176" t="s">
        <v>213</v>
      </c>
      <c r="P32" s="176" t="s">
        <v>52</v>
      </c>
      <c r="Q32" s="176"/>
      <c r="R32" s="178" t="s">
        <v>565</v>
      </c>
      <c r="S32" s="56"/>
      <c r="T32" s="56"/>
      <c r="U32" s="56"/>
      <c r="V32" s="56"/>
      <c r="W32" s="73"/>
      <c r="X32" s="73"/>
      <c r="Y32" s="73"/>
      <c r="Z32" s="73"/>
    </row>
    <row r="33" spans="1:26" x14ac:dyDescent="0.3">
      <c r="A33" s="124" t="s">
        <v>146</v>
      </c>
      <c r="B33" s="125" t="s">
        <v>110</v>
      </c>
      <c r="C33" s="125" t="s">
        <v>566</v>
      </c>
      <c r="D33" s="125" t="s">
        <v>148</v>
      </c>
      <c r="E33" s="125">
        <v>560000</v>
      </c>
      <c r="F33" s="125"/>
      <c r="G33" s="125"/>
      <c r="H33" s="125">
        <v>560000</v>
      </c>
      <c r="I33" s="125"/>
      <c r="J33" s="125"/>
      <c r="K33" s="125"/>
      <c r="L33" s="125"/>
      <c r="M33" s="125"/>
      <c r="N33" s="125"/>
      <c r="O33" s="125" t="s">
        <v>213</v>
      </c>
      <c r="P33" s="125" t="s">
        <v>52</v>
      </c>
      <c r="Q33" s="125"/>
      <c r="R33" s="126" t="s">
        <v>567</v>
      </c>
      <c r="S33" s="56"/>
      <c r="T33" s="56"/>
      <c r="U33" s="56"/>
      <c r="V33" s="56"/>
      <c r="W33" s="73"/>
      <c r="X33" s="73"/>
      <c r="Y33" s="73"/>
      <c r="Z33" s="73"/>
    </row>
    <row r="34" spans="1:26" x14ac:dyDescent="0.3">
      <c r="A34" s="197" t="s">
        <v>146</v>
      </c>
      <c r="B34" s="199" t="s">
        <v>170</v>
      </c>
      <c r="C34" s="199" t="s">
        <v>420</v>
      </c>
      <c r="D34" s="199" t="s">
        <v>146</v>
      </c>
      <c r="E34" s="199">
        <v>449400</v>
      </c>
      <c r="F34" s="199"/>
      <c r="G34" s="199"/>
      <c r="H34" s="199">
        <v>449400</v>
      </c>
      <c r="I34" s="199"/>
      <c r="J34" s="199"/>
      <c r="K34" s="199"/>
      <c r="L34" s="199"/>
      <c r="M34" s="199"/>
      <c r="N34" s="199"/>
      <c r="O34" s="199" t="s">
        <v>109</v>
      </c>
      <c r="P34" s="199" t="s">
        <v>52</v>
      </c>
      <c r="Q34" s="199" t="s">
        <v>421</v>
      </c>
      <c r="R34" s="201" t="s">
        <v>422</v>
      </c>
      <c r="S34" s="56"/>
      <c r="T34" s="56"/>
      <c r="U34" s="56"/>
      <c r="V34" s="56"/>
      <c r="W34" s="73"/>
      <c r="X34" s="73"/>
      <c r="Y34" s="73"/>
      <c r="Z34" s="73"/>
    </row>
    <row r="35" spans="1:26" x14ac:dyDescent="0.3">
      <c r="A35" s="198" t="s">
        <v>146</v>
      </c>
      <c r="B35" s="200" t="s">
        <v>94</v>
      </c>
      <c r="C35" s="200" t="s">
        <v>141</v>
      </c>
      <c r="D35" s="200" t="s">
        <v>146</v>
      </c>
      <c r="E35" s="200">
        <v>-2000000</v>
      </c>
      <c r="F35" s="200"/>
      <c r="G35" s="200"/>
      <c r="H35" s="200"/>
      <c r="I35" s="200"/>
      <c r="J35" s="200"/>
      <c r="K35" s="200">
        <v>-2000000</v>
      </c>
      <c r="L35" s="200"/>
      <c r="M35" s="200"/>
      <c r="N35" s="200"/>
      <c r="O35" s="200" t="s">
        <v>52</v>
      </c>
      <c r="P35" s="200" t="s">
        <v>142</v>
      </c>
      <c r="Q35" s="200"/>
      <c r="R35" s="202" t="s">
        <v>144</v>
      </c>
      <c r="S35" s="56"/>
      <c r="T35" s="56"/>
      <c r="U35" s="56"/>
      <c r="V35" s="56"/>
      <c r="W35" s="73"/>
      <c r="X35" s="73"/>
      <c r="Y35" s="73"/>
      <c r="Z35" s="73"/>
    </row>
    <row r="36" spans="1:26" x14ac:dyDescent="0.3">
      <c r="A36" s="198" t="s">
        <v>146</v>
      </c>
      <c r="B36" s="200" t="s">
        <v>94</v>
      </c>
      <c r="C36" s="200" t="s">
        <v>209</v>
      </c>
      <c r="D36" s="200" t="s">
        <v>146</v>
      </c>
      <c r="E36" s="200">
        <v>-633480</v>
      </c>
      <c r="F36" s="200"/>
      <c r="G36" s="200"/>
      <c r="H36" s="200"/>
      <c r="I36" s="200"/>
      <c r="J36" s="200"/>
      <c r="K36" s="200">
        <v>-633480</v>
      </c>
      <c r="L36" s="200"/>
      <c r="M36" s="200"/>
      <c r="N36" s="200"/>
      <c r="O36" s="200" t="s">
        <v>52</v>
      </c>
      <c r="P36" s="200" t="s">
        <v>210</v>
      </c>
      <c r="Q36" s="200"/>
      <c r="R36" s="202" t="s">
        <v>211</v>
      </c>
      <c r="S36" s="56"/>
      <c r="T36" s="56"/>
      <c r="U36" s="56"/>
      <c r="V36" s="56"/>
      <c r="W36" s="73"/>
      <c r="X36" s="73"/>
      <c r="Y36" s="73"/>
      <c r="Z36" s="73"/>
    </row>
    <row r="37" spans="1:26" x14ac:dyDescent="0.3">
      <c r="A37" s="198" t="s">
        <v>146</v>
      </c>
      <c r="B37" s="200" t="s">
        <v>217</v>
      </c>
      <c r="C37" s="200" t="s">
        <v>568</v>
      </c>
      <c r="D37" s="200" t="s">
        <v>120</v>
      </c>
      <c r="E37" s="200">
        <v>-105000</v>
      </c>
      <c r="F37" s="200"/>
      <c r="G37" s="200"/>
      <c r="H37" s="200">
        <v>-105000</v>
      </c>
      <c r="I37" s="200"/>
      <c r="J37" s="200"/>
      <c r="K37" s="200"/>
      <c r="L37" s="200"/>
      <c r="M37" s="200"/>
      <c r="N37" s="200"/>
      <c r="O37" s="200" t="s">
        <v>52</v>
      </c>
      <c r="P37" s="200" t="s">
        <v>210</v>
      </c>
      <c r="Q37" s="200" t="s">
        <v>569</v>
      </c>
      <c r="R37" s="202" t="s">
        <v>570</v>
      </c>
      <c r="S37" s="56"/>
      <c r="T37" s="56"/>
      <c r="U37" s="56"/>
      <c r="V37" s="56"/>
      <c r="W37" s="73"/>
      <c r="X37" s="73"/>
      <c r="Y37" s="73"/>
      <c r="Z37" s="73"/>
    </row>
    <row r="38" spans="1:26" x14ac:dyDescent="0.3">
      <c r="A38" s="219" t="s">
        <v>147</v>
      </c>
      <c r="B38" s="220" t="s">
        <v>170</v>
      </c>
      <c r="C38" s="220" t="s">
        <v>420</v>
      </c>
      <c r="D38" s="220" t="s">
        <v>147</v>
      </c>
      <c r="E38" s="220">
        <v>324440</v>
      </c>
      <c r="F38" s="220"/>
      <c r="G38" s="220"/>
      <c r="H38" s="220">
        <v>324440</v>
      </c>
      <c r="I38" s="220"/>
      <c r="J38" s="220"/>
      <c r="K38" s="220"/>
      <c r="L38" s="220"/>
      <c r="M38" s="220"/>
      <c r="N38" s="220"/>
      <c r="O38" s="220" t="s">
        <v>109</v>
      </c>
      <c r="P38" s="220" t="s">
        <v>52</v>
      </c>
      <c r="Q38" s="220" t="s">
        <v>423</v>
      </c>
      <c r="R38" s="221" t="s">
        <v>422</v>
      </c>
      <c r="S38" s="56"/>
      <c r="T38" s="56"/>
      <c r="U38" s="56"/>
      <c r="V38" s="56"/>
      <c r="W38" s="73"/>
      <c r="X38" s="73"/>
      <c r="Y38" s="73"/>
      <c r="Z38" s="73"/>
    </row>
    <row r="39" spans="1:26" x14ac:dyDescent="0.3">
      <c r="A39" s="219" t="s">
        <v>147</v>
      </c>
      <c r="B39" s="220" t="s">
        <v>94</v>
      </c>
      <c r="C39" s="220" t="s">
        <v>141</v>
      </c>
      <c r="D39" s="220" t="s">
        <v>147</v>
      </c>
      <c r="E39" s="220">
        <v>-480698</v>
      </c>
      <c r="F39" s="220"/>
      <c r="G39" s="220"/>
      <c r="H39" s="220"/>
      <c r="I39" s="220"/>
      <c r="J39" s="220"/>
      <c r="K39" s="220">
        <v>-480698</v>
      </c>
      <c r="L39" s="220"/>
      <c r="M39" s="220"/>
      <c r="N39" s="220"/>
      <c r="O39" s="220" t="s">
        <v>52</v>
      </c>
      <c r="P39" s="220" t="s">
        <v>142</v>
      </c>
      <c r="Q39" s="220"/>
      <c r="R39" s="221" t="s">
        <v>144</v>
      </c>
      <c r="S39" s="56"/>
      <c r="T39" s="56"/>
      <c r="U39" s="56"/>
      <c r="V39" s="56"/>
      <c r="W39" s="73"/>
      <c r="X39" s="73"/>
      <c r="Y39" s="73"/>
      <c r="Z39" s="73"/>
    </row>
    <row r="40" spans="1:26" x14ac:dyDescent="0.3">
      <c r="A40" s="219" t="s">
        <v>147</v>
      </c>
      <c r="B40" s="220" t="s">
        <v>94</v>
      </c>
      <c r="C40" s="220" t="s">
        <v>563</v>
      </c>
      <c r="D40" s="220" t="s">
        <v>147</v>
      </c>
      <c r="E40" s="220">
        <v>-25000</v>
      </c>
      <c r="F40" s="220"/>
      <c r="G40" s="220"/>
      <c r="H40" s="220"/>
      <c r="I40" s="220"/>
      <c r="J40" s="220"/>
      <c r="K40" s="220">
        <v>-25000</v>
      </c>
      <c r="L40" s="220"/>
      <c r="M40" s="220"/>
      <c r="N40" s="220"/>
      <c r="O40" s="220" t="s">
        <v>52</v>
      </c>
      <c r="P40" s="220" t="s">
        <v>210</v>
      </c>
      <c r="Q40" s="220"/>
      <c r="R40" s="221" t="s">
        <v>211</v>
      </c>
      <c r="S40" s="56"/>
      <c r="T40" s="56"/>
      <c r="U40" s="56"/>
      <c r="V40" s="56"/>
      <c r="W40" s="73"/>
      <c r="X40" s="73"/>
      <c r="Y40" s="73"/>
      <c r="Z40" s="73"/>
    </row>
    <row r="41" spans="1:26" x14ac:dyDescent="0.3">
      <c r="A41" s="219" t="s">
        <v>147</v>
      </c>
      <c r="B41" s="220" t="s">
        <v>94</v>
      </c>
      <c r="C41" s="220" t="s">
        <v>212</v>
      </c>
      <c r="D41" s="220" t="s">
        <v>147</v>
      </c>
      <c r="E41" s="220">
        <v>-473063</v>
      </c>
      <c r="F41" s="220"/>
      <c r="G41" s="220"/>
      <c r="H41" s="220"/>
      <c r="I41" s="220"/>
      <c r="J41" s="220"/>
      <c r="K41" s="220">
        <v>-473063</v>
      </c>
      <c r="L41" s="220"/>
      <c r="M41" s="220"/>
      <c r="N41" s="220"/>
      <c r="O41" s="220" t="s">
        <v>52</v>
      </c>
      <c r="P41" s="220" t="s">
        <v>213</v>
      </c>
      <c r="Q41" s="220"/>
      <c r="R41" s="221" t="s">
        <v>214</v>
      </c>
      <c r="S41" s="56"/>
      <c r="T41" s="56"/>
      <c r="U41" s="56"/>
      <c r="V41" s="56"/>
      <c r="W41" s="73"/>
      <c r="X41" s="73"/>
      <c r="Y41" s="73"/>
      <c r="Z41" s="73"/>
    </row>
    <row r="42" spans="1:26" x14ac:dyDescent="0.3">
      <c r="A42" s="219" t="s">
        <v>148</v>
      </c>
      <c r="B42" s="220" t="s">
        <v>94</v>
      </c>
      <c r="C42" s="220" t="s">
        <v>141</v>
      </c>
      <c r="D42" s="220" t="s">
        <v>148</v>
      </c>
      <c r="E42" s="220">
        <v>-571500</v>
      </c>
      <c r="F42" s="220"/>
      <c r="G42" s="220"/>
      <c r="H42" s="220"/>
      <c r="I42" s="220"/>
      <c r="J42" s="220"/>
      <c r="K42" s="220">
        <v>-571500</v>
      </c>
      <c r="L42" s="220"/>
      <c r="M42" s="220"/>
      <c r="N42" s="220"/>
      <c r="O42" s="220" t="s">
        <v>52</v>
      </c>
      <c r="P42" s="220" t="s">
        <v>142</v>
      </c>
      <c r="Q42" s="220"/>
      <c r="R42" s="221" t="s">
        <v>144</v>
      </c>
      <c r="S42" s="56"/>
      <c r="T42" s="56"/>
      <c r="U42" s="56"/>
      <c r="V42" s="56"/>
      <c r="W42" s="73"/>
      <c r="X42" s="73"/>
      <c r="Y42" s="73"/>
      <c r="Z42" s="73"/>
    </row>
    <row r="43" spans="1:26" x14ac:dyDescent="0.3">
      <c r="A43" s="219" t="s">
        <v>148</v>
      </c>
      <c r="B43" s="220" t="s">
        <v>94</v>
      </c>
      <c r="C43" s="220" t="s">
        <v>564</v>
      </c>
      <c r="D43" s="220" t="s">
        <v>148</v>
      </c>
      <c r="E43" s="220">
        <v>-1212842</v>
      </c>
      <c r="F43" s="220"/>
      <c r="G43" s="220"/>
      <c r="H43" s="220"/>
      <c r="I43" s="220"/>
      <c r="J43" s="220"/>
      <c r="K43" s="220">
        <v>-1212842</v>
      </c>
      <c r="L43" s="220"/>
      <c r="M43" s="220"/>
      <c r="N43" s="220"/>
      <c r="O43" s="220" t="s">
        <v>52</v>
      </c>
      <c r="P43" s="220" t="s">
        <v>213</v>
      </c>
      <c r="Q43" s="220"/>
      <c r="R43" s="221" t="s">
        <v>565</v>
      </c>
      <c r="S43" s="56"/>
      <c r="T43" s="56"/>
      <c r="U43" s="56"/>
      <c r="V43" s="56"/>
      <c r="W43" s="73"/>
      <c r="X43" s="73"/>
      <c r="Y43" s="73"/>
      <c r="Z43" s="73"/>
    </row>
    <row r="44" spans="1:26" x14ac:dyDescent="0.3">
      <c r="A44" s="219" t="s">
        <v>148</v>
      </c>
      <c r="B44" s="220" t="s">
        <v>94</v>
      </c>
      <c r="C44" s="220" t="s">
        <v>566</v>
      </c>
      <c r="D44" s="220" t="s">
        <v>148</v>
      </c>
      <c r="E44" s="220">
        <v>-560000</v>
      </c>
      <c r="F44" s="220"/>
      <c r="G44" s="220"/>
      <c r="H44" s="220"/>
      <c r="I44" s="220"/>
      <c r="J44" s="220"/>
      <c r="K44" s="220">
        <v>-560000</v>
      </c>
      <c r="L44" s="220"/>
      <c r="M44" s="220"/>
      <c r="N44" s="220"/>
      <c r="O44" s="220" t="s">
        <v>52</v>
      </c>
      <c r="P44" s="220" t="s">
        <v>213</v>
      </c>
      <c r="Q44" s="220"/>
      <c r="R44" s="221" t="s">
        <v>567</v>
      </c>
      <c r="S44" s="56"/>
      <c r="T44" s="56"/>
      <c r="U44" s="56"/>
      <c r="V44" s="56"/>
      <c r="W44" s="73"/>
      <c r="X44" s="73"/>
      <c r="Y44" s="73"/>
      <c r="Z44" s="73"/>
    </row>
    <row r="45" spans="1:26" x14ac:dyDescent="0.3">
      <c r="A45" s="219" t="s">
        <v>602</v>
      </c>
      <c r="B45" s="220" t="s">
        <v>94</v>
      </c>
      <c r="C45" s="220" t="s">
        <v>563</v>
      </c>
      <c r="D45" s="220" t="s">
        <v>602</v>
      </c>
      <c r="E45" s="220">
        <v>-171124</v>
      </c>
      <c r="F45" s="220"/>
      <c r="G45" s="220"/>
      <c r="H45" s="220"/>
      <c r="I45" s="220"/>
      <c r="J45" s="220"/>
      <c r="K45" s="220">
        <v>-171124</v>
      </c>
      <c r="L45" s="220"/>
      <c r="M45" s="220"/>
      <c r="N45" s="220"/>
      <c r="O45" s="220" t="s">
        <v>52</v>
      </c>
      <c r="P45" s="220" t="s">
        <v>210</v>
      </c>
      <c r="Q45" s="220"/>
      <c r="R45" s="221" t="s">
        <v>211</v>
      </c>
      <c r="S45" s="56"/>
      <c r="T45" s="56"/>
      <c r="U45" s="56"/>
      <c r="V45" s="56"/>
      <c r="W45" s="73"/>
      <c r="X45" s="73"/>
      <c r="Y45" s="73"/>
      <c r="Z45" s="73"/>
    </row>
    <row r="46" spans="1:26" ht="15.6" x14ac:dyDescent="0.3">
      <c r="A46" s="245" t="s">
        <v>89</v>
      </c>
      <c r="B46" s="245"/>
      <c r="C46" s="245"/>
      <c r="D46" s="245"/>
      <c r="E46" s="245"/>
      <c r="F46" s="245"/>
      <c r="G46" s="245"/>
      <c r="S46" s="56"/>
      <c r="T46" s="56"/>
      <c r="U46" s="56"/>
      <c r="V46" s="56"/>
    </row>
    <row r="48" spans="1:26" s="129" customFormat="1" x14ac:dyDescent="0.3">
      <c r="A48" s="128" t="s">
        <v>49</v>
      </c>
      <c r="B48" s="128" t="s">
        <v>50</v>
      </c>
      <c r="C48" s="128" t="s">
        <v>13</v>
      </c>
      <c r="D48" s="128" t="s">
        <v>51</v>
      </c>
      <c r="E48" s="128" t="s">
        <v>10</v>
      </c>
      <c r="F48" s="128" t="s">
        <v>43</v>
      </c>
      <c r="G48" s="128" t="s">
        <v>44</v>
      </c>
      <c r="H48" s="128" t="s">
        <v>4</v>
      </c>
      <c r="I48" s="128" t="s">
        <v>45</v>
      </c>
      <c r="J48" s="128" t="s">
        <v>5</v>
      </c>
      <c r="K48" s="128" t="s">
        <v>6</v>
      </c>
      <c r="L48" s="128" t="s">
        <v>46</v>
      </c>
      <c r="M48" s="128" t="s">
        <v>47</v>
      </c>
      <c r="N48" s="128" t="s">
        <v>48</v>
      </c>
      <c r="O48" s="128" t="s">
        <v>97</v>
      </c>
      <c r="P48" s="128" t="s">
        <v>98</v>
      </c>
      <c r="Q48" s="128" t="s">
        <v>99</v>
      </c>
      <c r="R48" s="128" t="s">
        <v>100</v>
      </c>
      <c r="S48" s="25"/>
      <c r="T48" s="25"/>
      <c r="U48" s="25"/>
      <c r="V48" s="25"/>
      <c r="W48" s="25"/>
      <c r="X48" s="25"/>
      <c r="Y48" s="25"/>
      <c r="Z48" s="25"/>
    </row>
    <row r="49" spans="1:26" s="123" customFormat="1" ht="13.2" x14ac:dyDescent="0.3">
      <c r="A49" s="122" t="s">
        <v>111</v>
      </c>
      <c r="B49" s="122" t="s">
        <v>110</v>
      </c>
      <c r="C49" s="122" t="s">
        <v>112</v>
      </c>
      <c r="D49" s="122" t="s">
        <v>113</v>
      </c>
      <c r="E49" s="122">
        <v>451757.81</v>
      </c>
      <c r="F49" s="122"/>
      <c r="G49" s="122"/>
      <c r="H49" s="122"/>
      <c r="I49" s="122"/>
      <c r="J49" s="122">
        <v>451757.81</v>
      </c>
      <c r="K49" s="122"/>
      <c r="L49" s="122"/>
      <c r="M49" s="122"/>
      <c r="N49" s="122"/>
      <c r="O49" s="122" t="s">
        <v>109</v>
      </c>
      <c r="P49" s="122" t="s">
        <v>52</v>
      </c>
      <c r="Q49" s="122"/>
      <c r="R49" s="122" t="s">
        <v>114</v>
      </c>
      <c r="S49" s="127"/>
      <c r="T49" s="127"/>
      <c r="U49" s="127"/>
      <c r="V49" s="127"/>
      <c r="W49" s="127"/>
      <c r="X49" s="127"/>
      <c r="Y49" s="127"/>
      <c r="Z49" s="127"/>
    </row>
    <row r="50" spans="1:26" s="123" customFormat="1" ht="13.2" x14ac:dyDescent="0.3">
      <c r="A50" s="122" t="s">
        <v>111</v>
      </c>
      <c r="B50" s="122" t="s">
        <v>110</v>
      </c>
      <c r="C50" s="122" t="s">
        <v>115</v>
      </c>
      <c r="D50" s="122"/>
      <c r="E50" s="122">
        <v>969391</v>
      </c>
      <c r="F50" s="122"/>
      <c r="G50" s="122"/>
      <c r="H50" s="122"/>
      <c r="I50" s="122"/>
      <c r="J50" s="122"/>
      <c r="K50" s="122">
        <v>969391</v>
      </c>
      <c r="L50" s="122"/>
      <c r="M50" s="122"/>
      <c r="N50" s="122"/>
      <c r="O50" s="122" t="s">
        <v>52</v>
      </c>
      <c r="P50" s="122" t="s">
        <v>116</v>
      </c>
      <c r="Q50" s="122"/>
      <c r="R50" s="122" t="s">
        <v>117</v>
      </c>
      <c r="S50" s="127"/>
      <c r="T50" s="127"/>
      <c r="U50" s="127"/>
      <c r="V50" s="127"/>
      <c r="W50" s="127"/>
      <c r="X50" s="127"/>
      <c r="Y50" s="127"/>
      <c r="Z50" s="127"/>
    </row>
    <row r="51" spans="1:26" s="123" customFormat="1" ht="13.2" x14ac:dyDescent="0.3">
      <c r="A51" s="122" t="s">
        <v>111</v>
      </c>
      <c r="B51" s="122" t="s">
        <v>95</v>
      </c>
      <c r="C51" s="122" t="s">
        <v>118</v>
      </c>
      <c r="D51" s="122" t="s">
        <v>120</v>
      </c>
      <c r="E51" s="122">
        <v>540000</v>
      </c>
      <c r="F51" s="122"/>
      <c r="G51" s="122"/>
      <c r="H51" s="122"/>
      <c r="I51" s="122"/>
      <c r="J51" s="122"/>
      <c r="K51" s="122">
        <v>540000</v>
      </c>
      <c r="L51" s="122"/>
      <c r="M51" s="122"/>
      <c r="N51" s="122"/>
      <c r="O51" s="122" t="s">
        <v>119</v>
      </c>
      <c r="P51" s="122" t="s">
        <v>52</v>
      </c>
      <c r="Q51" s="122"/>
      <c r="R51" s="122" t="s">
        <v>121</v>
      </c>
      <c r="S51" s="127"/>
      <c r="T51" s="127"/>
      <c r="U51" s="127"/>
      <c r="V51" s="127"/>
      <c r="W51" s="127"/>
      <c r="X51" s="127"/>
      <c r="Y51" s="127"/>
      <c r="Z51" s="127"/>
    </row>
    <row r="52" spans="1:26" s="123" customFormat="1" ht="13.2" x14ac:dyDescent="0.3">
      <c r="A52" s="122" t="s">
        <v>111</v>
      </c>
      <c r="B52" s="122" t="s">
        <v>95</v>
      </c>
      <c r="C52" s="122" t="s">
        <v>122</v>
      </c>
      <c r="D52" s="122" t="s">
        <v>111</v>
      </c>
      <c r="E52" s="122">
        <v>1722861</v>
      </c>
      <c r="F52" s="122"/>
      <c r="G52" s="122"/>
      <c r="H52" s="122">
        <v>1722861</v>
      </c>
      <c r="I52" s="122"/>
      <c r="J52" s="122"/>
      <c r="K52" s="122"/>
      <c r="L52" s="122"/>
      <c r="M52" s="122"/>
      <c r="N52" s="122"/>
      <c r="O52" s="122" t="s">
        <v>109</v>
      </c>
      <c r="P52" s="122" t="s">
        <v>52</v>
      </c>
      <c r="Q52" s="122" t="s">
        <v>123</v>
      </c>
      <c r="R52" s="122" t="s">
        <v>124</v>
      </c>
    </row>
    <row r="53" spans="1:26" s="123" customFormat="1" ht="13.2" x14ac:dyDescent="0.3">
      <c r="A53" s="122" t="s">
        <v>111</v>
      </c>
      <c r="B53" s="122" t="s">
        <v>95</v>
      </c>
      <c r="C53" s="122" t="s">
        <v>125</v>
      </c>
      <c r="D53" s="122" t="s">
        <v>111</v>
      </c>
      <c r="E53" s="122">
        <v>647765</v>
      </c>
      <c r="F53" s="122"/>
      <c r="G53" s="122"/>
      <c r="H53" s="122">
        <v>647765</v>
      </c>
      <c r="I53" s="122"/>
      <c r="J53" s="122"/>
      <c r="K53" s="122"/>
      <c r="L53" s="122"/>
      <c r="M53" s="122"/>
      <c r="N53" s="122"/>
      <c r="O53" s="122" t="s">
        <v>109</v>
      </c>
      <c r="P53" s="122" t="s">
        <v>52</v>
      </c>
      <c r="Q53" s="122" t="s">
        <v>126</v>
      </c>
      <c r="R53" s="122" t="s">
        <v>124</v>
      </c>
    </row>
    <row r="54" spans="1:26" s="123" customFormat="1" ht="13.2" x14ac:dyDescent="0.3">
      <c r="A54" s="122" t="s">
        <v>111</v>
      </c>
      <c r="B54" s="122" t="s">
        <v>95</v>
      </c>
      <c r="C54" s="122" t="s">
        <v>127</v>
      </c>
      <c r="D54" s="122" t="s">
        <v>111</v>
      </c>
      <c r="E54" s="122">
        <v>775618</v>
      </c>
      <c r="F54" s="122"/>
      <c r="G54" s="122"/>
      <c r="H54" s="122">
        <v>775618</v>
      </c>
      <c r="I54" s="122"/>
      <c r="J54" s="122"/>
      <c r="K54" s="122"/>
      <c r="L54" s="122"/>
      <c r="M54" s="122"/>
      <c r="N54" s="122"/>
      <c r="O54" s="122" t="s">
        <v>109</v>
      </c>
      <c r="P54" s="122" t="s">
        <v>52</v>
      </c>
      <c r="Q54" s="122" t="s">
        <v>128</v>
      </c>
      <c r="R54" s="122" t="s">
        <v>124</v>
      </c>
    </row>
    <row r="55" spans="1:26" s="123" customFormat="1" ht="13.2" x14ac:dyDescent="0.3">
      <c r="A55" s="127" t="s">
        <v>111</v>
      </c>
      <c r="B55" s="127" t="s">
        <v>95</v>
      </c>
      <c r="C55" s="127" t="s">
        <v>129</v>
      </c>
      <c r="D55" s="127" t="s">
        <v>111</v>
      </c>
      <c r="E55" s="127">
        <v>203637</v>
      </c>
      <c r="F55" s="127"/>
      <c r="G55" s="127"/>
      <c r="H55" s="127">
        <v>203637</v>
      </c>
      <c r="I55" s="127"/>
      <c r="J55" s="127"/>
      <c r="K55" s="127"/>
      <c r="L55" s="127"/>
      <c r="M55" s="127"/>
      <c r="N55" s="127"/>
      <c r="O55" s="127" t="s">
        <v>109</v>
      </c>
      <c r="P55" s="127" t="s">
        <v>52</v>
      </c>
      <c r="Q55" s="127" t="s">
        <v>130</v>
      </c>
      <c r="R55" s="127" t="s">
        <v>124</v>
      </c>
    </row>
    <row r="56" spans="1:26" s="123" customFormat="1" ht="13.2" x14ac:dyDescent="0.3">
      <c r="A56" s="127" t="s">
        <v>113</v>
      </c>
      <c r="B56" s="127" t="s">
        <v>110</v>
      </c>
      <c r="C56" s="127" t="s">
        <v>141</v>
      </c>
      <c r="D56" s="127" t="s">
        <v>143</v>
      </c>
      <c r="E56" s="127">
        <v>4252198</v>
      </c>
      <c r="F56" s="127"/>
      <c r="G56" s="127"/>
      <c r="H56" s="127"/>
      <c r="I56" s="127"/>
      <c r="J56" s="127"/>
      <c r="K56" s="127">
        <v>4252198</v>
      </c>
      <c r="L56" s="127"/>
      <c r="M56" s="127"/>
      <c r="N56" s="127"/>
      <c r="O56" s="127" t="s">
        <v>142</v>
      </c>
      <c r="P56" s="127" t="s">
        <v>52</v>
      </c>
      <c r="Q56" s="127"/>
      <c r="R56" s="127" t="s">
        <v>144</v>
      </c>
    </row>
    <row r="57" spans="1:26" s="123" customFormat="1" ht="13.2" x14ac:dyDescent="0.3">
      <c r="A57" s="127" t="s">
        <v>113</v>
      </c>
      <c r="B57" s="127" t="s">
        <v>167</v>
      </c>
      <c r="C57" s="127" t="s">
        <v>168</v>
      </c>
      <c r="D57" s="127" t="s">
        <v>132</v>
      </c>
      <c r="E57" s="127">
        <v>-713568.9</v>
      </c>
      <c r="F57" s="127"/>
      <c r="G57" s="127"/>
      <c r="H57" s="127"/>
      <c r="I57" s="127"/>
      <c r="J57" s="127"/>
      <c r="K57" s="127"/>
      <c r="L57" s="127"/>
      <c r="M57" s="127"/>
      <c r="N57" s="127"/>
      <c r="O57" s="127" t="s">
        <v>52</v>
      </c>
      <c r="P57" s="127" t="s">
        <v>109</v>
      </c>
      <c r="Q57" s="127"/>
      <c r="R57" s="127" t="s">
        <v>169</v>
      </c>
    </row>
    <row r="58" spans="1:26" s="123" customFormat="1" ht="13.2" x14ac:dyDescent="0.3">
      <c r="A58" s="127" t="s">
        <v>113</v>
      </c>
      <c r="B58" s="127" t="s">
        <v>94</v>
      </c>
      <c r="C58" s="127" t="s">
        <v>112</v>
      </c>
      <c r="D58" s="127" t="s">
        <v>113</v>
      </c>
      <c r="E58" s="127">
        <v>-451757.81</v>
      </c>
      <c r="F58" s="127"/>
      <c r="G58" s="127"/>
      <c r="H58" s="127"/>
      <c r="I58" s="127"/>
      <c r="J58" s="127">
        <v>-451757.81</v>
      </c>
      <c r="K58" s="127"/>
      <c r="L58" s="127"/>
      <c r="M58" s="127"/>
      <c r="N58" s="127"/>
      <c r="O58" s="127" t="s">
        <v>52</v>
      </c>
      <c r="P58" s="127" t="s">
        <v>109</v>
      </c>
      <c r="Q58" s="127"/>
      <c r="R58" s="127" t="s">
        <v>131</v>
      </c>
    </row>
    <row r="59" spans="1:26" s="123" customFormat="1" ht="13.2" x14ac:dyDescent="0.3">
      <c r="A59" s="127" t="s">
        <v>132</v>
      </c>
      <c r="B59" s="127" t="s">
        <v>170</v>
      </c>
      <c r="C59" s="127" t="s">
        <v>168</v>
      </c>
      <c r="D59" s="127"/>
      <c r="E59" s="127">
        <v>713568.9</v>
      </c>
      <c r="F59" s="127"/>
      <c r="G59" s="127"/>
      <c r="H59" s="127"/>
      <c r="I59" s="127"/>
      <c r="J59" s="127"/>
      <c r="K59" s="127"/>
      <c r="L59" s="127"/>
      <c r="M59" s="127"/>
      <c r="N59" s="127"/>
      <c r="O59" s="127" t="s">
        <v>109</v>
      </c>
      <c r="P59" s="127" t="s">
        <v>52</v>
      </c>
      <c r="Q59" s="127"/>
      <c r="R59" s="127" t="s">
        <v>169</v>
      </c>
    </row>
    <row r="60" spans="1:26" s="123" customFormat="1" ht="13.2" x14ac:dyDescent="0.3">
      <c r="A60" s="127" t="s">
        <v>132</v>
      </c>
      <c r="B60" s="127" t="s">
        <v>94</v>
      </c>
      <c r="C60" s="127" t="s">
        <v>115</v>
      </c>
      <c r="D60" s="127" t="s">
        <v>132</v>
      </c>
      <c r="E60" s="127">
        <v>-969391</v>
      </c>
      <c r="F60" s="127"/>
      <c r="G60" s="127"/>
      <c r="H60" s="127"/>
      <c r="I60" s="127"/>
      <c r="J60" s="127"/>
      <c r="K60" s="127">
        <v>-969391</v>
      </c>
      <c r="L60" s="127"/>
      <c r="M60" s="127"/>
      <c r="N60" s="127"/>
      <c r="O60" s="127" t="s">
        <v>116</v>
      </c>
      <c r="P60" s="127" t="s">
        <v>52</v>
      </c>
      <c r="Q60" s="127"/>
      <c r="R60" s="127" t="s">
        <v>133</v>
      </c>
      <c r="S60" s="127"/>
      <c r="T60" s="127"/>
      <c r="U60" s="127"/>
      <c r="V60" s="127"/>
    </row>
    <row r="61" spans="1:26" s="123" customFormat="1" ht="13.2" x14ac:dyDescent="0.3">
      <c r="A61" s="127" t="s">
        <v>145</v>
      </c>
      <c r="B61" s="127" t="s">
        <v>110</v>
      </c>
      <c r="C61" s="127" t="s">
        <v>209</v>
      </c>
      <c r="D61" s="127" t="s">
        <v>146</v>
      </c>
      <c r="E61" s="127">
        <v>633480</v>
      </c>
      <c r="F61" s="127"/>
      <c r="G61" s="127"/>
      <c r="H61" s="127"/>
      <c r="I61" s="127"/>
      <c r="J61" s="127"/>
      <c r="K61" s="127">
        <v>633480</v>
      </c>
      <c r="L61" s="127"/>
      <c r="M61" s="127"/>
      <c r="N61" s="127"/>
      <c r="O61" s="127" t="s">
        <v>210</v>
      </c>
      <c r="P61" s="127" t="s">
        <v>52</v>
      </c>
      <c r="Q61" s="127"/>
      <c r="R61" s="127" t="s">
        <v>211</v>
      </c>
      <c r="S61" s="127"/>
      <c r="T61" s="127"/>
      <c r="U61" s="127"/>
      <c r="V61" s="127"/>
    </row>
    <row r="62" spans="1:26" s="123" customFormat="1" ht="13.2" x14ac:dyDescent="0.3">
      <c r="A62" s="127" t="s">
        <v>145</v>
      </c>
      <c r="B62" s="127" t="s">
        <v>110</v>
      </c>
      <c r="C62" s="127" t="s">
        <v>212</v>
      </c>
      <c r="D62" s="127" t="s">
        <v>147</v>
      </c>
      <c r="E62" s="127">
        <v>473063</v>
      </c>
      <c r="F62" s="127"/>
      <c r="G62" s="127"/>
      <c r="H62" s="127">
        <v>473063</v>
      </c>
      <c r="I62" s="127"/>
      <c r="J62" s="127"/>
      <c r="K62" s="127"/>
      <c r="L62" s="127"/>
      <c r="M62" s="127"/>
      <c r="N62" s="127"/>
      <c r="O62" s="127" t="s">
        <v>213</v>
      </c>
      <c r="P62" s="127" t="s">
        <v>52</v>
      </c>
      <c r="Q62" s="127"/>
      <c r="R62" s="127" t="s">
        <v>214</v>
      </c>
      <c r="S62" s="127"/>
      <c r="T62" s="127"/>
      <c r="U62" s="127"/>
      <c r="V62" s="127"/>
    </row>
    <row r="63" spans="1:26" x14ac:dyDescent="0.3">
      <c r="A63" s="130" t="s">
        <v>145</v>
      </c>
      <c r="B63" s="130" t="s">
        <v>94</v>
      </c>
      <c r="C63" s="130" t="s">
        <v>141</v>
      </c>
      <c r="D63" s="130" t="s">
        <v>145</v>
      </c>
      <c r="E63" s="130">
        <v>-1200000</v>
      </c>
      <c r="F63" s="130"/>
      <c r="G63" s="130"/>
      <c r="H63" s="130"/>
      <c r="I63" s="130"/>
      <c r="J63" s="130"/>
      <c r="K63" s="130">
        <v>-1200000</v>
      </c>
      <c r="L63" s="130"/>
      <c r="M63" s="130"/>
      <c r="N63" s="130"/>
      <c r="O63" s="130" t="s">
        <v>52</v>
      </c>
      <c r="P63" s="130" t="s">
        <v>142</v>
      </c>
      <c r="Q63" s="130"/>
      <c r="R63" s="130" t="s">
        <v>144</v>
      </c>
      <c r="W63" s="9"/>
      <c r="X63" s="9"/>
      <c r="Y63" s="9"/>
      <c r="Z63" s="9"/>
    </row>
    <row r="64" spans="1:26" x14ac:dyDescent="0.3">
      <c r="A64" s="130" t="s">
        <v>146</v>
      </c>
      <c r="B64" s="130" t="s">
        <v>110</v>
      </c>
      <c r="C64" s="130" t="s">
        <v>563</v>
      </c>
      <c r="D64" s="130" t="s">
        <v>601</v>
      </c>
      <c r="E64" s="130">
        <v>196124</v>
      </c>
      <c r="F64" s="130"/>
      <c r="G64" s="130"/>
      <c r="H64" s="130"/>
      <c r="I64" s="130"/>
      <c r="J64" s="130"/>
      <c r="K64" s="130">
        <v>196124</v>
      </c>
      <c r="L64" s="130"/>
      <c r="M64" s="130"/>
      <c r="N64" s="130"/>
      <c r="O64" s="130" t="s">
        <v>210</v>
      </c>
      <c r="P64" s="130" t="s">
        <v>52</v>
      </c>
      <c r="Q64" s="130"/>
      <c r="R64" s="130" t="s">
        <v>211</v>
      </c>
      <c r="W64" s="9"/>
      <c r="X64" s="9"/>
      <c r="Y64" s="9"/>
      <c r="Z64" s="9"/>
    </row>
    <row r="65" spans="1:26" x14ac:dyDescent="0.3">
      <c r="A65" s="164" t="s">
        <v>146</v>
      </c>
      <c r="B65" s="164" t="s">
        <v>110</v>
      </c>
      <c r="C65" s="164" t="s">
        <v>564</v>
      </c>
      <c r="D65" s="164" t="s">
        <v>148</v>
      </c>
      <c r="E65" s="164">
        <v>1212842</v>
      </c>
      <c r="F65" s="164"/>
      <c r="G65" s="164"/>
      <c r="H65" s="164"/>
      <c r="I65" s="164"/>
      <c r="J65" s="164"/>
      <c r="K65" s="164">
        <v>1212842</v>
      </c>
      <c r="L65" s="164"/>
      <c r="M65" s="164"/>
      <c r="N65" s="164"/>
      <c r="O65" s="164" t="s">
        <v>213</v>
      </c>
      <c r="P65" s="164" t="s">
        <v>52</v>
      </c>
      <c r="Q65" s="164"/>
      <c r="R65" s="164" t="s">
        <v>565</v>
      </c>
      <c r="W65" s="9"/>
      <c r="X65" s="9"/>
      <c r="Y65" s="9"/>
      <c r="Z65" s="9"/>
    </row>
    <row r="66" spans="1:26" x14ac:dyDescent="0.3">
      <c r="A66" s="164" t="s">
        <v>146</v>
      </c>
      <c r="B66" s="164" t="s">
        <v>110</v>
      </c>
      <c r="C66" s="164" t="s">
        <v>566</v>
      </c>
      <c r="D66" s="164" t="s">
        <v>148</v>
      </c>
      <c r="E66" s="164">
        <v>560000</v>
      </c>
      <c r="F66" s="164"/>
      <c r="G66" s="164"/>
      <c r="H66" s="164">
        <v>560000</v>
      </c>
      <c r="I66" s="164"/>
      <c r="J66" s="164"/>
      <c r="K66" s="164"/>
      <c r="L66" s="164"/>
      <c r="M66" s="164"/>
      <c r="N66" s="164"/>
      <c r="O66" s="164" t="s">
        <v>213</v>
      </c>
      <c r="P66" s="164" t="s">
        <v>52</v>
      </c>
      <c r="Q66" s="164"/>
      <c r="R66" s="164" t="s">
        <v>567</v>
      </c>
      <c r="W66" s="9"/>
      <c r="X66" s="9"/>
      <c r="Y66" s="9"/>
      <c r="Z66" s="9"/>
    </row>
    <row r="67" spans="1:26" x14ac:dyDescent="0.3">
      <c r="A67" s="172" t="s">
        <v>146</v>
      </c>
      <c r="B67" s="172" t="s">
        <v>94</v>
      </c>
      <c r="C67" s="172" t="s">
        <v>141</v>
      </c>
      <c r="D67" s="172" t="s">
        <v>146</v>
      </c>
      <c r="E67" s="172">
        <v>-2000000</v>
      </c>
      <c r="F67" s="172"/>
      <c r="G67" s="172"/>
      <c r="H67" s="172"/>
      <c r="I67" s="172"/>
      <c r="J67" s="172"/>
      <c r="K67" s="172">
        <v>-2000000</v>
      </c>
      <c r="L67" s="172"/>
      <c r="M67" s="172"/>
      <c r="N67" s="172"/>
      <c r="O67" s="172" t="s">
        <v>52</v>
      </c>
      <c r="P67" s="172" t="s">
        <v>142</v>
      </c>
      <c r="Q67" s="172"/>
      <c r="R67" s="172" t="s">
        <v>144</v>
      </c>
      <c r="W67" s="9"/>
      <c r="X67" s="9"/>
      <c r="Y67" s="9"/>
      <c r="Z67" s="9"/>
    </row>
    <row r="68" spans="1:26" x14ac:dyDescent="0.3">
      <c r="A68" s="172" t="s">
        <v>146</v>
      </c>
      <c r="B68" s="172" t="s">
        <v>94</v>
      </c>
      <c r="C68" s="172" t="s">
        <v>209</v>
      </c>
      <c r="D68" s="172" t="s">
        <v>146</v>
      </c>
      <c r="E68" s="172">
        <v>-633480</v>
      </c>
      <c r="F68" s="172"/>
      <c r="G68" s="172"/>
      <c r="H68" s="172"/>
      <c r="I68" s="172"/>
      <c r="J68" s="172"/>
      <c r="K68" s="172">
        <v>-633480</v>
      </c>
      <c r="L68" s="172"/>
      <c r="M68" s="172"/>
      <c r="N68" s="172"/>
      <c r="O68" s="172" t="s">
        <v>52</v>
      </c>
      <c r="P68" s="172" t="s">
        <v>210</v>
      </c>
      <c r="Q68" s="172"/>
      <c r="R68" s="172" t="s">
        <v>211</v>
      </c>
      <c r="W68" s="9"/>
      <c r="X68" s="9"/>
      <c r="Y68" s="9"/>
      <c r="Z68" s="9"/>
    </row>
    <row r="69" spans="1:26" x14ac:dyDescent="0.3">
      <c r="A69" s="218" t="s">
        <v>146</v>
      </c>
      <c r="B69" s="218" t="s">
        <v>217</v>
      </c>
      <c r="C69" s="218" t="s">
        <v>568</v>
      </c>
      <c r="D69" s="218" t="s">
        <v>120</v>
      </c>
      <c r="E69" s="218">
        <v>-105000</v>
      </c>
      <c r="F69" s="218"/>
      <c r="G69" s="218"/>
      <c r="H69" s="218">
        <v>-105000</v>
      </c>
      <c r="I69" s="218"/>
      <c r="J69" s="218"/>
      <c r="K69" s="218"/>
      <c r="L69" s="218"/>
      <c r="M69" s="218"/>
      <c r="N69" s="218"/>
      <c r="O69" s="218" t="s">
        <v>52</v>
      </c>
      <c r="P69" s="218" t="s">
        <v>210</v>
      </c>
      <c r="Q69" s="218" t="s">
        <v>569</v>
      </c>
      <c r="R69" s="218" t="s">
        <v>570</v>
      </c>
      <c r="W69" s="9"/>
      <c r="X69" s="9"/>
      <c r="Y69" s="9"/>
      <c r="Z69" s="9"/>
    </row>
    <row r="70" spans="1:26" x14ac:dyDescent="0.3">
      <c r="A70" s="218" t="s">
        <v>147</v>
      </c>
      <c r="B70" s="218" t="s">
        <v>94</v>
      </c>
      <c r="C70" s="218" t="s">
        <v>141</v>
      </c>
      <c r="D70" s="218" t="s">
        <v>147</v>
      </c>
      <c r="E70" s="218">
        <v>-480698</v>
      </c>
      <c r="F70" s="218"/>
      <c r="G70" s="218"/>
      <c r="H70" s="218"/>
      <c r="I70" s="218"/>
      <c r="J70" s="218"/>
      <c r="K70" s="218">
        <v>-480698</v>
      </c>
      <c r="L70" s="218"/>
      <c r="M70" s="218"/>
      <c r="N70" s="218"/>
      <c r="O70" s="218" t="s">
        <v>52</v>
      </c>
      <c r="P70" s="218" t="s">
        <v>142</v>
      </c>
      <c r="Q70" s="218"/>
      <c r="R70" s="218" t="s">
        <v>144</v>
      </c>
      <c r="S70" s="73"/>
      <c r="T70" s="73"/>
      <c r="U70" s="73"/>
      <c r="V70" s="73"/>
      <c r="W70" s="9"/>
      <c r="X70" s="9"/>
      <c r="Y70" s="9"/>
      <c r="Z70" s="9"/>
    </row>
    <row r="71" spans="1:26" x14ac:dyDescent="0.3">
      <c r="A71" s="218" t="s">
        <v>147</v>
      </c>
      <c r="B71" s="218" t="s">
        <v>94</v>
      </c>
      <c r="C71" s="218" t="s">
        <v>563</v>
      </c>
      <c r="D71" s="218" t="s">
        <v>147</v>
      </c>
      <c r="E71" s="218">
        <v>-25000</v>
      </c>
      <c r="F71" s="218"/>
      <c r="G71" s="218"/>
      <c r="H71" s="218"/>
      <c r="I71" s="218"/>
      <c r="J71" s="218"/>
      <c r="K71" s="218">
        <v>-25000</v>
      </c>
      <c r="L71" s="218"/>
      <c r="M71" s="218"/>
      <c r="N71" s="218"/>
      <c r="O71" s="218" t="s">
        <v>52</v>
      </c>
      <c r="P71" s="218" t="s">
        <v>210</v>
      </c>
      <c r="Q71" s="218"/>
      <c r="R71" s="218" t="s">
        <v>211</v>
      </c>
      <c r="S71" s="73"/>
      <c r="T71" s="73"/>
      <c r="U71" s="73"/>
      <c r="V71" s="73"/>
      <c r="W71" s="9"/>
      <c r="X71" s="9"/>
      <c r="Y71" s="9"/>
      <c r="Z71" s="9"/>
    </row>
    <row r="72" spans="1:26" x14ac:dyDescent="0.3">
      <c r="A72" s="218" t="s">
        <v>147</v>
      </c>
      <c r="B72" s="218" t="s">
        <v>94</v>
      </c>
      <c r="C72" s="218" t="s">
        <v>212</v>
      </c>
      <c r="D72" s="218" t="s">
        <v>147</v>
      </c>
      <c r="E72" s="218">
        <v>-473063</v>
      </c>
      <c r="F72" s="218"/>
      <c r="G72" s="218"/>
      <c r="H72" s="218"/>
      <c r="I72" s="218"/>
      <c r="J72" s="218"/>
      <c r="K72" s="218">
        <v>-473063</v>
      </c>
      <c r="L72" s="218"/>
      <c r="M72" s="218"/>
      <c r="N72" s="218"/>
      <c r="O72" s="218" t="s">
        <v>52</v>
      </c>
      <c r="P72" s="218" t="s">
        <v>213</v>
      </c>
      <c r="Q72" s="218"/>
      <c r="R72" s="218" t="s">
        <v>214</v>
      </c>
      <c r="S72" s="73"/>
      <c r="T72" s="73"/>
      <c r="U72" s="73"/>
      <c r="V72" s="73"/>
      <c r="W72" s="9"/>
      <c r="X72" s="9"/>
      <c r="Y72" s="9"/>
      <c r="Z72" s="9"/>
    </row>
    <row r="73" spans="1:26" x14ac:dyDescent="0.3">
      <c r="A73" s="218" t="s">
        <v>148</v>
      </c>
      <c r="B73" s="218" t="s">
        <v>94</v>
      </c>
      <c r="C73" s="218" t="s">
        <v>141</v>
      </c>
      <c r="D73" s="218" t="s">
        <v>148</v>
      </c>
      <c r="E73" s="218">
        <v>-571500</v>
      </c>
      <c r="F73" s="218"/>
      <c r="G73" s="218"/>
      <c r="H73" s="218"/>
      <c r="I73" s="218"/>
      <c r="J73" s="218"/>
      <c r="K73" s="218">
        <v>-571500</v>
      </c>
      <c r="L73" s="218"/>
      <c r="M73" s="218"/>
      <c r="N73" s="218"/>
      <c r="O73" s="218" t="s">
        <v>52</v>
      </c>
      <c r="P73" s="218" t="s">
        <v>142</v>
      </c>
      <c r="Q73" s="218"/>
      <c r="R73" s="218" t="s">
        <v>144</v>
      </c>
      <c r="S73" s="73"/>
      <c r="T73" s="73"/>
      <c r="U73" s="73"/>
      <c r="V73" s="73"/>
      <c r="W73" s="9"/>
      <c r="X73" s="9"/>
      <c r="Y73" s="9"/>
      <c r="Z73" s="9"/>
    </row>
    <row r="74" spans="1:26" x14ac:dyDescent="0.3">
      <c r="A74" s="218" t="s">
        <v>148</v>
      </c>
      <c r="B74" s="218" t="s">
        <v>94</v>
      </c>
      <c r="C74" s="218" t="s">
        <v>564</v>
      </c>
      <c r="D74" s="218" t="s">
        <v>148</v>
      </c>
      <c r="E74" s="218">
        <v>-1212842</v>
      </c>
      <c r="F74" s="218"/>
      <c r="G74" s="218"/>
      <c r="H74" s="218"/>
      <c r="I74" s="218"/>
      <c r="J74" s="218"/>
      <c r="K74" s="218">
        <v>-1212842</v>
      </c>
      <c r="L74" s="218"/>
      <c r="M74" s="218"/>
      <c r="N74" s="218"/>
      <c r="O74" s="218" t="s">
        <v>52</v>
      </c>
      <c r="P74" s="218" t="s">
        <v>213</v>
      </c>
      <c r="Q74" s="218"/>
      <c r="R74" s="218" t="s">
        <v>565</v>
      </c>
      <c r="S74" s="73"/>
      <c r="T74" s="73"/>
      <c r="U74" s="73"/>
      <c r="V74" s="73"/>
      <c r="W74" s="9"/>
      <c r="X74" s="9"/>
      <c r="Y74" s="9"/>
      <c r="Z74" s="9"/>
    </row>
    <row r="75" spans="1:26" x14ac:dyDescent="0.3">
      <c r="A75" s="218" t="s">
        <v>148</v>
      </c>
      <c r="B75" s="218" t="s">
        <v>94</v>
      </c>
      <c r="C75" s="218" t="s">
        <v>566</v>
      </c>
      <c r="D75" s="218" t="s">
        <v>148</v>
      </c>
      <c r="E75" s="218">
        <v>-560000</v>
      </c>
      <c r="F75" s="218"/>
      <c r="G75" s="218"/>
      <c r="H75" s="218"/>
      <c r="I75" s="218"/>
      <c r="J75" s="218"/>
      <c r="K75" s="218">
        <v>-560000</v>
      </c>
      <c r="L75" s="218"/>
      <c r="M75" s="218"/>
      <c r="N75" s="218"/>
      <c r="O75" s="218" t="s">
        <v>52</v>
      </c>
      <c r="P75" s="218" t="s">
        <v>213</v>
      </c>
      <c r="Q75" s="218"/>
      <c r="R75" s="218" t="s">
        <v>567</v>
      </c>
      <c r="S75" s="73"/>
      <c r="T75" s="73"/>
      <c r="U75" s="73"/>
      <c r="V75" s="73"/>
      <c r="W75" s="9"/>
      <c r="X75" s="9"/>
      <c r="Y75" s="9"/>
      <c r="Z75" s="9"/>
    </row>
    <row r="76" spans="1:26" x14ac:dyDescent="0.3">
      <c r="A76" s="218" t="s">
        <v>602</v>
      </c>
      <c r="B76" s="218" t="s">
        <v>94</v>
      </c>
      <c r="C76" s="218" t="s">
        <v>563</v>
      </c>
      <c r="D76" s="218" t="s">
        <v>602</v>
      </c>
      <c r="E76" s="218">
        <v>-171124</v>
      </c>
      <c r="F76" s="218"/>
      <c r="G76" s="218"/>
      <c r="H76" s="218"/>
      <c r="I76" s="218"/>
      <c r="J76" s="218"/>
      <c r="K76" s="218">
        <v>-171124</v>
      </c>
      <c r="L76" s="218"/>
      <c r="M76" s="218"/>
      <c r="N76" s="218"/>
      <c r="O76" s="218" t="s">
        <v>52</v>
      </c>
      <c r="P76" s="218" t="s">
        <v>210</v>
      </c>
      <c r="Q76" s="218"/>
      <c r="R76" s="218" t="s">
        <v>211</v>
      </c>
      <c r="W76" s="9"/>
      <c r="X76" s="9"/>
      <c r="Y76" s="9"/>
      <c r="Z76" s="9"/>
    </row>
    <row r="77" spans="1:26" x14ac:dyDescent="0.3">
      <c r="A77" s="71" t="s">
        <v>149</v>
      </c>
      <c r="W77" s="9"/>
      <c r="X77" s="9"/>
      <c r="Y77" s="9"/>
      <c r="Z77" s="9"/>
    </row>
    <row r="79" spans="1:26" x14ac:dyDescent="0.3">
      <c r="A79" s="73" t="s">
        <v>150</v>
      </c>
      <c r="B79" s="74" t="s">
        <v>151</v>
      </c>
      <c r="C79" s="73" t="s">
        <v>152</v>
      </c>
      <c r="D79" s="73" t="s">
        <v>159</v>
      </c>
      <c r="E79" s="73" t="s">
        <v>153</v>
      </c>
      <c r="F79" s="72" t="s">
        <v>100</v>
      </c>
      <c r="H79" s="24"/>
      <c r="Y79" s="9"/>
      <c r="Z79" s="9"/>
    </row>
    <row r="80" spans="1:26" x14ac:dyDescent="0.3">
      <c r="A80" s="73" t="s">
        <v>154</v>
      </c>
      <c r="B80" s="74" t="s">
        <v>145</v>
      </c>
      <c r="C80" s="73" t="s">
        <v>155</v>
      </c>
      <c r="D80" s="138">
        <v>58100</v>
      </c>
      <c r="E80" s="138">
        <v>58100</v>
      </c>
      <c r="F80" s="137" t="s">
        <v>180</v>
      </c>
      <c r="H80" s="24"/>
      <c r="Y80" s="9"/>
      <c r="Z80" s="9"/>
    </row>
    <row r="81" spans="1:26" x14ac:dyDescent="0.3">
      <c r="A81" s="73" t="s">
        <v>156</v>
      </c>
      <c r="B81" s="74" t="s">
        <v>145</v>
      </c>
      <c r="C81" s="73" t="s">
        <v>155</v>
      </c>
      <c r="D81" s="138">
        <v>101500</v>
      </c>
      <c r="E81" s="138">
        <v>101500</v>
      </c>
      <c r="F81" s="137" t="s">
        <v>180</v>
      </c>
      <c r="H81" s="24"/>
      <c r="Y81" s="9"/>
      <c r="Z81" s="9"/>
    </row>
    <row r="82" spans="1:26" x14ac:dyDescent="0.3">
      <c r="A82" s="73" t="s">
        <v>157</v>
      </c>
      <c r="B82" s="74" t="s">
        <v>145</v>
      </c>
      <c r="C82" s="73" t="s">
        <v>155</v>
      </c>
      <c r="D82" s="138"/>
      <c r="E82" s="138">
        <v>82100</v>
      </c>
      <c r="F82" s="137" t="s">
        <v>180</v>
      </c>
      <c r="H82" s="24"/>
      <c r="Y82" s="9"/>
      <c r="Z82" s="9"/>
    </row>
    <row r="83" spans="1:26" x14ac:dyDescent="0.3">
      <c r="A83" s="73" t="s">
        <v>154</v>
      </c>
      <c r="B83" s="74" t="s">
        <v>145</v>
      </c>
      <c r="C83" s="73" t="s">
        <v>158</v>
      </c>
      <c r="D83" s="138">
        <f>3020949.39-58100-58100</f>
        <v>2904749.39</v>
      </c>
      <c r="E83" s="138">
        <v>2905000</v>
      </c>
      <c r="F83" s="137" t="s">
        <v>182</v>
      </c>
      <c r="H83" s="24"/>
      <c r="Y83" s="9"/>
      <c r="Z83" s="9"/>
    </row>
    <row r="84" spans="1:26" x14ac:dyDescent="0.3">
      <c r="A84" s="73" t="s">
        <v>154</v>
      </c>
      <c r="B84" s="74" t="s">
        <v>145</v>
      </c>
      <c r="C84" s="73" t="s">
        <v>155</v>
      </c>
      <c r="D84" s="138">
        <v>58100</v>
      </c>
      <c r="E84" s="138">
        <v>58100</v>
      </c>
      <c r="F84" s="137" t="s">
        <v>181</v>
      </c>
      <c r="H84" s="24"/>
      <c r="Y84" s="9"/>
      <c r="Z84" s="9"/>
    </row>
    <row r="85" spans="1:26" x14ac:dyDescent="0.3">
      <c r="A85" s="73" t="s">
        <v>156</v>
      </c>
      <c r="B85" s="74" t="s">
        <v>145</v>
      </c>
      <c r="C85" s="73" t="s">
        <v>155</v>
      </c>
      <c r="D85" s="138">
        <f>437505.29-101500-101500</f>
        <v>234505.28999999998</v>
      </c>
      <c r="E85" s="138">
        <v>5075000</v>
      </c>
      <c r="F85" s="137" t="s">
        <v>182</v>
      </c>
      <c r="H85" s="24"/>
      <c r="Y85" s="9"/>
      <c r="Z85" s="9"/>
    </row>
    <row r="86" spans="1:26" x14ac:dyDescent="0.3">
      <c r="A86" s="73" t="s">
        <v>156</v>
      </c>
      <c r="B86" s="74" t="s">
        <v>145</v>
      </c>
      <c r="C86" s="73" t="s">
        <v>155</v>
      </c>
      <c r="D86" s="138">
        <v>101500</v>
      </c>
      <c r="E86" s="138">
        <v>101500</v>
      </c>
      <c r="F86" s="137" t="s">
        <v>181</v>
      </c>
      <c r="H86" s="24"/>
      <c r="Y86" s="9"/>
      <c r="Z86" s="9"/>
    </row>
    <row r="87" spans="1:26" x14ac:dyDescent="0.3">
      <c r="A87" s="73" t="s">
        <v>157</v>
      </c>
      <c r="B87" s="74" t="s">
        <v>145</v>
      </c>
      <c r="C87" s="73" t="s">
        <v>155</v>
      </c>
      <c r="D87" s="138"/>
      <c r="E87" s="138">
        <v>4105000</v>
      </c>
      <c r="F87" s="137" t="s">
        <v>182</v>
      </c>
      <c r="H87" s="24"/>
      <c r="Y87" s="9"/>
      <c r="Z87" s="9"/>
    </row>
    <row r="88" spans="1:26" x14ac:dyDescent="0.3">
      <c r="A88" s="73" t="s">
        <v>157</v>
      </c>
      <c r="B88" s="74" t="s">
        <v>145</v>
      </c>
      <c r="C88" s="73" t="s">
        <v>155</v>
      </c>
      <c r="D88" s="138"/>
      <c r="E88" s="138">
        <v>82100</v>
      </c>
      <c r="F88" s="137" t="s">
        <v>181</v>
      </c>
      <c r="H88" s="24"/>
      <c r="Y88" s="9"/>
      <c r="Z88" s="9"/>
    </row>
    <row r="89" spans="1:26" x14ac:dyDescent="0.3">
      <c r="A89" s="73" t="s">
        <v>10</v>
      </c>
      <c r="B89" s="73"/>
      <c r="C89" s="73"/>
      <c r="D89" s="73">
        <f>SUBTOTAL(109,D80:D88)</f>
        <v>3458454.68</v>
      </c>
      <c r="E89" s="73">
        <f>SUBTOTAL(109,E80:E88)</f>
        <v>12568400</v>
      </c>
      <c r="F89" s="73"/>
      <c r="H89" s="24"/>
      <c r="Y89" s="9"/>
      <c r="Z89" s="9"/>
    </row>
  </sheetData>
  <mergeCells count="5">
    <mergeCell ref="A1:F1"/>
    <mergeCell ref="A3:F3"/>
    <mergeCell ref="A9:G9"/>
    <mergeCell ref="A46:G46"/>
    <mergeCell ref="A7:H7"/>
  </mergeCells>
  <pageMargins left="0.7" right="0.7" top="0.75" bottom="0.75" header="0.3" footer="0.3"/>
  <pageSetup paperSize="17" scale="76" orientation="landscape"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7"/>
  <sheetViews>
    <sheetView zoomScaleNormal="100" workbookViewId="0"/>
  </sheetViews>
  <sheetFormatPr defaultRowHeight="14.4" x14ac:dyDescent="0.3"/>
  <cols>
    <col min="1" max="1" width="9.109375" style="1"/>
    <col min="2" max="2" width="20.6640625" customWidth="1"/>
    <col min="3" max="3" width="37.44140625" customWidth="1"/>
    <col min="4" max="4" width="15.6640625" customWidth="1"/>
    <col min="5" max="5" width="18.33203125" customWidth="1"/>
  </cols>
  <sheetData>
    <row r="1" spans="1:5" x14ac:dyDescent="0.35">
      <c r="A1" s="4" t="s">
        <v>13</v>
      </c>
      <c r="B1" s="254" t="s">
        <v>14</v>
      </c>
      <c r="C1" s="254"/>
      <c r="D1" s="254"/>
      <c r="E1" s="254"/>
    </row>
    <row r="2" spans="1:5" ht="81.75" customHeight="1" x14ac:dyDescent="0.35">
      <c r="A2" s="1">
        <v>1</v>
      </c>
      <c r="B2" s="247" t="s">
        <v>16</v>
      </c>
      <c r="C2" s="247"/>
      <c r="D2" s="247"/>
      <c r="E2" s="247"/>
    </row>
    <row r="3" spans="1:5" x14ac:dyDescent="0.35">
      <c r="B3" s="3"/>
      <c r="C3" s="3"/>
      <c r="D3" s="3"/>
      <c r="E3" s="3"/>
    </row>
    <row r="4" spans="1:5" ht="33" customHeight="1" x14ac:dyDescent="0.35">
      <c r="A4" s="1">
        <v>2</v>
      </c>
      <c r="B4" s="247" t="s">
        <v>17</v>
      </c>
      <c r="C4" s="247"/>
      <c r="D4" s="247"/>
      <c r="E4" s="247"/>
    </row>
    <row r="5" spans="1:5" x14ac:dyDescent="0.3">
      <c r="B5" s="3"/>
      <c r="C5" s="3"/>
      <c r="D5" s="3"/>
      <c r="E5" s="3"/>
    </row>
    <row r="6" spans="1:5" s="16" customFormat="1" ht="114" customHeight="1" x14ac:dyDescent="0.3">
      <c r="A6" s="17">
        <v>3</v>
      </c>
      <c r="B6" s="248" t="s">
        <v>72</v>
      </c>
      <c r="C6" s="248"/>
      <c r="D6" s="248"/>
      <c r="E6" s="248"/>
    </row>
    <row r="7" spans="1:5" s="16" customFormat="1" x14ac:dyDescent="0.3">
      <c r="A7" s="17"/>
      <c r="B7" s="18"/>
      <c r="C7" s="18"/>
      <c r="D7" s="18"/>
      <c r="E7" s="18"/>
    </row>
    <row r="8" spans="1:5" s="139" customFormat="1" ht="18" customHeight="1" x14ac:dyDescent="0.3">
      <c r="A8" s="17">
        <v>4</v>
      </c>
      <c r="B8" s="253" t="s">
        <v>64</v>
      </c>
      <c r="C8" s="253"/>
      <c r="D8" s="8"/>
      <c r="E8" s="8"/>
    </row>
    <row r="9" spans="1:5" s="139" customFormat="1" ht="18" customHeight="1" x14ac:dyDescent="0.3">
      <c r="A9" s="17"/>
      <c r="B9" s="256" t="s">
        <v>313</v>
      </c>
      <c r="C9" s="256"/>
      <c r="D9" s="12">
        <v>1250000</v>
      </c>
    </row>
    <row r="10" spans="1:5" s="139" customFormat="1" ht="18" customHeight="1" x14ac:dyDescent="0.3">
      <c r="A10" s="17"/>
      <c r="B10" s="247" t="s">
        <v>314</v>
      </c>
      <c r="C10" s="247"/>
      <c r="D10" s="11">
        <f>-187500-125000</f>
        <v>-312500</v>
      </c>
      <c r="E10" s="139" t="s">
        <v>183</v>
      </c>
    </row>
    <row r="11" spans="1:5" s="139" customFormat="1" ht="18" customHeight="1" x14ac:dyDescent="0.3">
      <c r="A11" s="17"/>
      <c r="B11" s="256" t="s">
        <v>315</v>
      </c>
      <c r="C11" s="256"/>
      <c r="D11" s="13">
        <f>+D9+D10</f>
        <v>937500</v>
      </c>
    </row>
    <row r="12" spans="1:5" s="139" customFormat="1" ht="31.5" customHeight="1" x14ac:dyDescent="0.3">
      <c r="A12" s="17"/>
      <c r="B12" s="247" t="s">
        <v>316</v>
      </c>
      <c r="C12" s="247"/>
      <c r="D12" s="10">
        <f>1250000*0.25</f>
        <v>312500</v>
      </c>
    </row>
    <row r="13" spans="1:5" s="139" customFormat="1" ht="36.75" customHeight="1" x14ac:dyDescent="0.3">
      <c r="A13" s="17"/>
      <c r="B13" s="256" t="s">
        <v>317</v>
      </c>
      <c r="C13" s="256"/>
      <c r="D13" s="14">
        <f>SUM(D11:D12)</f>
        <v>1250000</v>
      </c>
    </row>
    <row r="14" spans="1:5" s="16" customFormat="1" ht="18" customHeight="1" x14ac:dyDescent="0.3">
      <c r="A14" s="17"/>
      <c r="B14" s="21"/>
      <c r="C14" s="21"/>
      <c r="D14" s="22"/>
    </row>
    <row r="15" spans="1:5" s="16" customFormat="1" ht="84.75" customHeight="1" x14ac:dyDescent="0.3">
      <c r="A15" s="1">
        <v>5</v>
      </c>
      <c r="B15" s="255" t="s">
        <v>65</v>
      </c>
      <c r="C15" s="255"/>
      <c r="D15" s="255"/>
      <c r="E15" s="255"/>
    </row>
    <row r="16" spans="1:5" x14ac:dyDescent="0.3">
      <c r="B16" s="3"/>
      <c r="C16" s="3"/>
      <c r="D16" s="3"/>
      <c r="E16" s="3"/>
    </row>
    <row r="17" spans="1:5" ht="14.4" customHeight="1" x14ac:dyDescent="0.3">
      <c r="A17" s="1">
        <v>6</v>
      </c>
      <c r="B17" s="247" t="s">
        <v>434</v>
      </c>
      <c r="C17" s="247"/>
      <c r="D17" s="247"/>
      <c r="E17" s="247"/>
    </row>
    <row r="18" spans="1:5" x14ac:dyDescent="0.3">
      <c r="B18" s="247"/>
      <c r="C18" s="247"/>
      <c r="D18" s="247"/>
      <c r="E18" s="247"/>
    </row>
    <row r="19" spans="1:5" s="16" customFormat="1" x14ac:dyDescent="0.3">
      <c r="A19" s="17"/>
      <c r="B19" s="180"/>
      <c r="C19" s="180"/>
      <c r="D19" s="180"/>
      <c r="E19" s="180"/>
    </row>
    <row r="20" spans="1:5" ht="33" customHeight="1" x14ac:dyDescent="0.3">
      <c r="A20" s="1">
        <v>7</v>
      </c>
      <c r="B20" s="247" t="s">
        <v>38</v>
      </c>
      <c r="C20" s="247"/>
      <c r="D20" s="247"/>
      <c r="E20" s="247"/>
    </row>
    <row r="21" spans="1:5" ht="14.25" customHeight="1" x14ac:dyDescent="0.3">
      <c r="B21" s="7"/>
      <c r="C21" s="7"/>
      <c r="D21" s="7"/>
      <c r="E21" s="7"/>
    </row>
    <row r="22" spans="1:5" ht="47.25" customHeight="1" x14ac:dyDescent="0.3">
      <c r="A22" s="1">
        <v>8</v>
      </c>
      <c r="B22" s="247" t="s">
        <v>39</v>
      </c>
      <c r="C22" s="247"/>
      <c r="D22" s="247"/>
      <c r="E22" s="247"/>
    </row>
    <row r="23" spans="1:5" ht="15" customHeight="1" x14ac:dyDescent="0.3">
      <c r="B23" s="7"/>
      <c r="C23" s="7"/>
      <c r="D23" s="7"/>
      <c r="E23" s="7"/>
    </row>
    <row r="24" spans="1:5" ht="32.25" customHeight="1" x14ac:dyDescent="0.3">
      <c r="A24" s="1">
        <v>9</v>
      </c>
      <c r="B24" s="247" t="s">
        <v>37</v>
      </c>
      <c r="C24" s="247"/>
      <c r="D24" s="247"/>
      <c r="E24" s="247"/>
    </row>
    <row r="25" spans="1:5" ht="15" customHeight="1" x14ac:dyDescent="0.3">
      <c r="B25" s="7"/>
      <c r="C25" s="7"/>
      <c r="D25" s="7"/>
      <c r="E25" s="7"/>
    </row>
    <row r="26" spans="1:5" ht="33" customHeight="1" x14ac:dyDescent="0.3">
      <c r="A26" s="1">
        <v>10</v>
      </c>
      <c r="B26" s="247" t="s">
        <v>40</v>
      </c>
      <c r="C26" s="247"/>
      <c r="D26" s="247"/>
      <c r="E26" s="247"/>
    </row>
    <row r="27" spans="1:5" x14ac:dyDescent="0.3">
      <c r="B27" s="3"/>
      <c r="C27" s="3"/>
      <c r="D27" s="3"/>
      <c r="E27" s="3"/>
    </row>
    <row r="28" spans="1:5" ht="30" customHeight="1" x14ac:dyDescent="0.3">
      <c r="A28" s="1">
        <v>11</v>
      </c>
      <c r="B28" s="247" t="s">
        <v>41</v>
      </c>
      <c r="C28" s="247"/>
      <c r="D28" s="247"/>
      <c r="E28" s="247"/>
    </row>
    <row r="29" spans="1:5" x14ac:dyDescent="0.3">
      <c r="B29" s="3"/>
      <c r="C29" s="3"/>
      <c r="D29" s="3"/>
      <c r="E29" s="3"/>
    </row>
    <row r="30" spans="1:5" ht="31.5" customHeight="1" x14ac:dyDescent="0.3">
      <c r="A30" s="1">
        <v>12</v>
      </c>
      <c r="B30" s="247" t="s">
        <v>42</v>
      </c>
      <c r="C30" s="247"/>
      <c r="D30" s="247"/>
      <c r="E30" s="247"/>
    </row>
    <row r="31" spans="1:5" x14ac:dyDescent="0.3">
      <c r="B31" s="7"/>
      <c r="C31" s="7"/>
      <c r="D31" s="7"/>
      <c r="E31" s="7"/>
    </row>
    <row r="32" spans="1:5" ht="34.5" customHeight="1" x14ac:dyDescent="0.3">
      <c r="A32" s="1">
        <v>13</v>
      </c>
      <c r="B32" s="247" t="s">
        <v>18</v>
      </c>
      <c r="C32" s="247"/>
      <c r="D32" s="247"/>
      <c r="E32" s="247"/>
    </row>
    <row r="33" spans="1:5" ht="16.5" customHeight="1" x14ac:dyDescent="0.3">
      <c r="B33" s="3"/>
      <c r="C33" s="3"/>
      <c r="D33" s="3"/>
      <c r="E33" s="3"/>
    </row>
    <row r="34" spans="1:5" ht="64.5" customHeight="1" x14ac:dyDescent="0.3">
      <c r="A34" s="1">
        <v>14</v>
      </c>
      <c r="B34" s="247" t="s">
        <v>19</v>
      </c>
      <c r="C34" s="247"/>
      <c r="D34" s="247"/>
      <c r="E34" s="247"/>
    </row>
    <row r="35" spans="1:5" ht="14.25" customHeight="1" x14ac:dyDescent="0.3">
      <c r="B35" s="3"/>
      <c r="C35" s="3"/>
      <c r="D35" s="3"/>
      <c r="E35" s="3"/>
    </row>
    <row r="36" spans="1:5" x14ac:dyDescent="0.3">
      <c r="A36" s="1">
        <v>15</v>
      </c>
      <c r="B36" s="253" t="s">
        <v>34</v>
      </c>
      <c r="C36" s="253"/>
      <c r="D36" s="253"/>
      <c r="E36" s="253"/>
    </row>
    <row r="37" spans="1:5" x14ac:dyDescent="0.3">
      <c r="B37" s="15" t="s">
        <v>7</v>
      </c>
      <c r="C37" s="250" t="s">
        <v>20</v>
      </c>
      <c r="D37" s="250"/>
      <c r="E37" s="250"/>
    </row>
    <row r="38" spans="1:5" x14ac:dyDescent="0.3">
      <c r="B38" s="5" t="s">
        <v>21</v>
      </c>
      <c r="C38" s="249" t="s">
        <v>28</v>
      </c>
      <c r="D38" s="249"/>
      <c r="E38" s="249"/>
    </row>
    <row r="39" spans="1:5" x14ac:dyDescent="0.3">
      <c r="B39" s="15" t="s">
        <v>22</v>
      </c>
      <c r="C39" s="250" t="s">
        <v>29</v>
      </c>
      <c r="D39" s="250"/>
      <c r="E39" s="250"/>
    </row>
    <row r="40" spans="1:5" x14ac:dyDescent="0.3">
      <c r="B40" s="5" t="s">
        <v>23</v>
      </c>
      <c r="C40" s="249" t="s">
        <v>32</v>
      </c>
      <c r="D40" s="249"/>
      <c r="E40" s="249"/>
    </row>
    <row r="41" spans="1:5" x14ac:dyDescent="0.3">
      <c r="B41" s="15" t="s">
        <v>9</v>
      </c>
      <c r="C41" s="250" t="s">
        <v>30</v>
      </c>
      <c r="D41" s="250"/>
      <c r="E41" s="250"/>
    </row>
    <row r="42" spans="1:5" x14ac:dyDescent="0.3">
      <c r="B42" s="5" t="s">
        <v>8</v>
      </c>
      <c r="C42" s="249" t="s">
        <v>24</v>
      </c>
      <c r="D42" s="249"/>
      <c r="E42" s="249"/>
    </row>
    <row r="43" spans="1:5" x14ac:dyDescent="0.3">
      <c r="B43" s="15" t="s">
        <v>25</v>
      </c>
      <c r="C43" s="250" t="s">
        <v>26</v>
      </c>
      <c r="D43" s="250"/>
      <c r="E43" s="250"/>
    </row>
    <row r="44" spans="1:5" x14ac:dyDescent="0.3">
      <c r="B44" s="5" t="s">
        <v>27</v>
      </c>
      <c r="C44" s="249" t="s">
        <v>31</v>
      </c>
      <c r="D44" s="249"/>
      <c r="E44" s="249"/>
    </row>
    <row r="45" spans="1:5" s="16" customFormat="1" x14ac:dyDescent="0.3">
      <c r="A45" s="17"/>
      <c r="B45" s="19"/>
      <c r="C45" s="20"/>
      <c r="D45" s="20"/>
      <c r="E45" s="20"/>
    </row>
    <row r="46" spans="1:5" s="16" customFormat="1" x14ac:dyDescent="0.3">
      <c r="A46" s="17">
        <v>16</v>
      </c>
      <c r="B46" s="23" t="s">
        <v>73</v>
      </c>
      <c r="C46" s="20"/>
      <c r="D46" s="20"/>
      <c r="E46" s="20"/>
    </row>
    <row r="47" spans="1:5" s="16" customFormat="1" ht="30" customHeight="1" x14ac:dyDescent="0.3">
      <c r="A47" s="17"/>
      <c r="B47" s="15" t="s">
        <v>56</v>
      </c>
      <c r="C47" s="250" t="s">
        <v>75</v>
      </c>
      <c r="D47" s="250"/>
      <c r="E47" s="250"/>
    </row>
    <row r="48" spans="1:5" s="16" customFormat="1" x14ac:dyDescent="0.3">
      <c r="A48" s="17"/>
      <c r="B48" s="19" t="s">
        <v>57</v>
      </c>
      <c r="C48" s="249" t="s">
        <v>74</v>
      </c>
      <c r="D48" s="249"/>
      <c r="E48" s="249"/>
    </row>
    <row r="49" spans="1:5" s="16" customFormat="1" ht="48.75" customHeight="1" x14ac:dyDescent="0.3">
      <c r="A49" s="17"/>
      <c r="B49" s="15" t="s">
        <v>58</v>
      </c>
      <c r="C49" s="250" t="s">
        <v>77</v>
      </c>
      <c r="D49" s="250"/>
      <c r="E49" s="250"/>
    </row>
    <row r="50" spans="1:5" s="16" customFormat="1" ht="29.25" customHeight="1" x14ac:dyDescent="0.3">
      <c r="A50" s="17"/>
      <c r="B50" s="19" t="s">
        <v>59</v>
      </c>
      <c r="C50" s="249" t="s">
        <v>76</v>
      </c>
      <c r="D50" s="249"/>
      <c r="E50" s="249"/>
    </row>
    <row r="51" spans="1:5" x14ac:dyDescent="0.3">
      <c r="B51" s="5"/>
      <c r="C51" s="6"/>
      <c r="D51" s="6"/>
      <c r="E51" s="6"/>
    </row>
    <row r="52" spans="1:5" ht="94.5" customHeight="1" x14ac:dyDescent="0.3">
      <c r="A52" s="1">
        <v>17</v>
      </c>
      <c r="B52" s="252" t="s">
        <v>33</v>
      </c>
      <c r="C52" s="252"/>
      <c r="D52" s="252"/>
      <c r="E52" s="252"/>
    </row>
    <row r="53" spans="1:5" s="16" customFormat="1" ht="16.5" customHeight="1" x14ac:dyDescent="0.3">
      <c r="A53" s="17"/>
      <c r="B53" s="163"/>
      <c r="C53" s="163"/>
      <c r="D53" s="163"/>
      <c r="E53" s="163"/>
    </row>
    <row r="54" spans="1:5" s="16" customFormat="1" ht="31.95" customHeight="1" x14ac:dyDescent="0.3">
      <c r="A54" s="17">
        <v>18</v>
      </c>
      <c r="B54" s="247" t="s">
        <v>208</v>
      </c>
      <c r="C54" s="247"/>
      <c r="D54" s="247"/>
      <c r="E54" s="247"/>
    </row>
    <row r="56" spans="1:5" x14ac:dyDescent="0.3">
      <c r="B56" s="2"/>
    </row>
    <row r="57" spans="1:5" x14ac:dyDescent="0.3">
      <c r="A57" s="251" t="s">
        <v>35</v>
      </c>
      <c r="B57" s="251"/>
      <c r="C57" s="251"/>
      <c r="D57" s="251"/>
      <c r="E57" s="251"/>
    </row>
  </sheetData>
  <mergeCells count="36">
    <mergeCell ref="B1:E1"/>
    <mergeCell ref="B2:E2"/>
    <mergeCell ref="B4:E4"/>
    <mergeCell ref="B15:E15"/>
    <mergeCell ref="B10:C10"/>
    <mergeCell ref="B11:C11"/>
    <mergeCell ref="B13:C13"/>
    <mergeCell ref="B12:C12"/>
    <mergeCell ref="B8:C8"/>
    <mergeCell ref="B9:C9"/>
    <mergeCell ref="A57:E57"/>
    <mergeCell ref="B20:E20"/>
    <mergeCell ref="B52:E52"/>
    <mergeCell ref="B36:E36"/>
    <mergeCell ref="C37:E37"/>
    <mergeCell ref="C38:E38"/>
    <mergeCell ref="C39:E39"/>
    <mergeCell ref="C40:E40"/>
    <mergeCell ref="C41:E41"/>
    <mergeCell ref="C42:E42"/>
    <mergeCell ref="C43:E43"/>
    <mergeCell ref="C44:E44"/>
    <mergeCell ref="B22:E22"/>
    <mergeCell ref="B24:E24"/>
    <mergeCell ref="C47:E47"/>
    <mergeCell ref="C48:E48"/>
    <mergeCell ref="B54:E54"/>
    <mergeCell ref="B26:E26"/>
    <mergeCell ref="B28:E28"/>
    <mergeCell ref="B6:E6"/>
    <mergeCell ref="C50:E50"/>
    <mergeCell ref="C49:E49"/>
    <mergeCell ref="B30:E30"/>
    <mergeCell ref="B32:E32"/>
    <mergeCell ref="B34:E34"/>
    <mergeCell ref="B17:E18"/>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2016-06-06T16:54:55Z</cp:lastPrinted>
  <dcterms:created xsi:type="dcterms:W3CDTF">2013-05-11T20:19:37Z</dcterms:created>
  <dcterms:modified xsi:type="dcterms:W3CDTF">2017-10-03T13:08:20Z</dcterms:modified>
</cp:coreProperties>
</file>