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595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Transactions'!$A$1:$W$74</definedName>
    <definedName name="Query_from_MS_Access_Database" localSheetId="0" hidden="1">'Federal Funds Transactions'!$A$16:$T$45</definedName>
    <definedName name="Query_from_MS_Access_Database" localSheetId="1" hidden="1">'Regional Loans and Transfers'!$A$11:$R$22</definedName>
    <definedName name="Query_from_MS_Access_Database_1" localSheetId="0" hidden="1">'Federal Funds Transactions'!$A$50:$T$51</definedName>
    <definedName name="Query_from_MS_Access_Database_1" localSheetId="1" hidden="1">'Regional Loans and Transfers'!$A$25:$R$35</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51" i="1" l="1"/>
  <c r="I51" i="1"/>
  <c r="U51" i="1"/>
  <c r="I18" i="1"/>
  <c r="I17" i="1"/>
  <c r="I19" i="1"/>
  <c r="I20" i="1"/>
  <c r="I21" i="1"/>
  <c r="I22" i="1"/>
  <c r="I23" i="1"/>
  <c r="I24" i="1"/>
  <c r="I25" i="1"/>
  <c r="I26" i="1"/>
  <c r="I27" i="1"/>
  <c r="I28" i="1"/>
  <c r="I29" i="1"/>
  <c r="I30" i="1"/>
  <c r="I31" i="1"/>
  <c r="I32" i="1"/>
  <c r="I33" i="1"/>
  <c r="I34" i="1"/>
  <c r="I35" i="1"/>
  <c r="I36" i="1"/>
  <c r="I37" i="1"/>
  <c r="I38" i="1"/>
  <c r="I39" i="1"/>
  <c r="I40" i="1"/>
  <c r="I41" i="1"/>
  <c r="I42" i="1"/>
  <c r="I43" i="1"/>
  <c r="I44" i="1"/>
  <c r="I45" i="1"/>
  <c r="U18" i="1"/>
  <c r="U17" i="1"/>
  <c r="V17" i="1" s="1"/>
  <c r="U19" i="1"/>
  <c r="U20" i="1"/>
  <c r="U21" i="1"/>
  <c r="U22" i="1"/>
  <c r="U23" i="1"/>
  <c r="U24" i="1"/>
  <c r="U25" i="1"/>
  <c r="U26" i="1"/>
  <c r="U27" i="1"/>
  <c r="U28" i="1"/>
  <c r="U29" i="1"/>
  <c r="U30" i="1"/>
  <c r="U31" i="1"/>
  <c r="U32" i="1"/>
  <c r="U33" i="1"/>
  <c r="U34" i="1"/>
  <c r="U35" i="1"/>
  <c r="U36" i="1"/>
  <c r="U37" i="1"/>
  <c r="U38" i="1"/>
  <c r="U39" i="1"/>
  <c r="U40" i="1"/>
  <c r="U41" i="1"/>
  <c r="U42" i="1"/>
  <c r="U43" i="1"/>
  <c r="U44" i="1"/>
  <c r="U45" i="1"/>
  <c r="P6" i="1" l="1"/>
  <c r="S6" i="1" l="1"/>
  <c r="V12" i="1" l="1"/>
  <c r="T12" i="1"/>
  <c r="S12" i="1"/>
  <c r="R12" i="1"/>
  <c r="Q12" i="1"/>
  <c r="P12" i="1"/>
  <c r="O12" i="1"/>
  <c r="N12" i="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Q6" i="1" l="1"/>
  <c r="D11" i="2" l="1"/>
  <c r="V60" i="1" l="1"/>
  <c r="S60" i="1"/>
  <c r="Q60" i="1"/>
  <c r="P60" i="1"/>
  <c r="O60" i="1"/>
  <c r="N60" i="1"/>
  <c r="T61" i="1" l="1"/>
  <c r="R61" i="1"/>
  <c r="O61" i="1" l="1"/>
  <c r="P61" i="1" l="1"/>
  <c r="U60" i="1" l="1"/>
  <c r="U4" i="1" l="1"/>
  <c r="U5" i="1"/>
  <c r="U6" i="1"/>
  <c r="V6" i="1" s="1"/>
  <c r="D12" i="2" l="1"/>
  <c r="O52" i="1" l="1"/>
  <c r="P52" i="1"/>
  <c r="Q52" i="1"/>
  <c r="R52" i="1"/>
  <c r="S52" i="1"/>
  <c r="T52" i="1"/>
  <c r="U52" i="1"/>
  <c r="N52" i="1"/>
  <c r="O46" i="1"/>
  <c r="P46" i="1"/>
  <c r="Q46" i="1"/>
  <c r="R46" i="1"/>
  <c r="S46" i="1"/>
  <c r="T46" i="1"/>
  <c r="U46" i="1"/>
  <c r="N46" i="1"/>
  <c r="R13" i="1" l="1"/>
  <c r="S13" i="1"/>
  <c r="S47" i="1" s="1"/>
  <c r="S53" i="1" s="1"/>
  <c r="T13" i="1"/>
  <c r="S59" i="1" l="1"/>
  <c r="S61" i="1" s="1"/>
  <c r="T47" i="1"/>
  <c r="T53" i="1" s="1"/>
  <c r="T62" i="1" s="1"/>
  <c r="R47" i="1"/>
  <c r="R53" i="1" s="1"/>
  <c r="R62" i="1" s="1"/>
  <c r="O13" i="1" l="1"/>
  <c r="O47" i="1" s="1"/>
  <c r="O53" i="1" s="1"/>
  <c r="A7" i="3"/>
  <c r="U7" i="1" l="1"/>
  <c r="U9" i="1"/>
  <c r="U11" i="1"/>
  <c r="U8" i="1"/>
  <c r="U10" i="1"/>
  <c r="U12" i="1"/>
  <c r="V13" i="1"/>
  <c r="P13" i="1"/>
  <c r="P47" i="1" s="1"/>
  <c r="P53" i="1" s="1"/>
  <c r="N13" i="1"/>
  <c r="N47" i="1" s="1"/>
  <c r="N53" i="1" s="1"/>
  <c r="Q13" i="1"/>
  <c r="Q47" i="1" s="1"/>
  <c r="Q53" i="1" s="1"/>
  <c r="N59" i="1" l="1"/>
  <c r="N61" i="1" s="1"/>
  <c r="Q59" i="1"/>
  <c r="Q61" i="1" s="1"/>
  <c r="B5" i="3"/>
  <c r="D13" i="2"/>
  <c r="U59" i="1" l="1"/>
  <c r="U61" i="1" s="1"/>
  <c r="U62" i="1"/>
  <c r="U13" i="1" l="1"/>
  <c r="U47" i="1" s="1"/>
  <c r="U53" i="1" s="1"/>
  <c r="A1" i="3"/>
  <c r="V18" i="1" l="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SIP, `06-PAG LEDGER`.PL, `06-PAG LEDGER`.SPR, `06-PAG LEDGER`.`STP OTHER`, `06-PAG LEDGER`.`STP OVER 200K`, `06-PAG LEDGER`.`TA OTHER`, `06-PAG LEDGER`.`TA OVER 200K`_x000d__x000a_FROM `G:\FMS\RESOURCE\ACCESS\010614 PBPF\011614 PBPF front.accdb`.`06-PAG LEDGER` `06-PAG LEDGER`_x000d__x000a_WHERE (`06-PAG LEDGER`.`ADOT#`&lt;&gt;'Trick') AND (`06-PAG LEDGER`.`Finance Authorization`&gt;=#10/1/2015# AND `06-PAG LEDGER`.`Finance Authorization`&lt;=#9/30/2016#)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CMAQ, `06-PAGqryLedgerApportsCrosstab`.`CMAQ 2_5`, `06-PAGqryLedgerApportsCrosstab`.HSIP, `06-PAGqryLedgerApportsCrosstab`.PL, `06-PAGqryLedgerApportsCrosstab`.SPR, `06-PAGqryLedgerApportsCrosstab`.`STP other`, `06-PAGqryLedgerApportsCrosstab`.`STP over 200K`, `06-PAGqryLedgerApportsCrosstab`.`TA other`, `06-PAGqryLedgerApportsCrosstab`.`TA over 200K`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CMAQ, `06-PAGqryLedgerOACrosstab`.`CMAQ 2_5`, `06-PAGqryLedgerOACrosstab`.HSIP, `06-PAGqryLedgerOACrosstab`.PL, `06-PAGqryLedgerOACrosstab`.SPR, `06-PAGqryLedgerOACrosstab`.`STP other`, `06-PAGqryLedgerOACrosstab`.`STP over 200K`, `06-PAGqryLedgerOACrosstab`.`TA other`, `06-PAGqryLedgerOACrosstab`.`TA over 200K`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SIP, `06-PAG LEDGER`.PL, `06-PAG LEDGER`.SPR, `06-PAG LEDGER`.`STP OTHER`, `06-PAG LEDGER`.`STP OVER 200K`, `06-PAG LEDGER`.`TA OTHER`, `06-PAG LEDGER`.`TA OVER 200K`_x000d__x000a_FROM `G:\FMS\RESOURCE\ACCESS\010614 PBPF\011614 PBPF front.accdb`.`06-PAG LEDGER` `06-PAG LEDGER`_x000d__x000a_WHERE (`06-PAG LEDGER`.`ADOT#` Not Like 'Trick') AND (`06-PAG LEDGER`.`Finance Authorization` Is Null) AND (`06-PAG LEDGER`.`Action/15` Not In ('Reduce AC', 'AC Auth')) AND ((`06-PAG LEDGER`.`PB Expected`&gt;=#10/1/2015# and `PB Expected`&lt;=#9/30/2016#) OR (`06-PAG LEDGER`.`PB Received`&gt;=#10/1/2015# and `PB Received`&lt;=#9/30/2016#) OR (`06-PAG LEDGER`.`PF Transmitted`&gt;=#10/1/2015# and `PF Transmitted`&lt;=#9/30/2016#))_x000d__x000a_ORDER BY `06-PAG LEDGER`.`ADOT#`"/>
  </connection>
</connections>
</file>

<file path=xl/sharedStrings.xml><?xml version="1.0" encoding="utf-8"?>
<sst xmlns="http://schemas.openxmlformats.org/spreadsheetml/2006/main" count="559" uniqueCount="258">
  <si>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</si>
  <si>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</si>
  <si>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</si>
  <si>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</si>
  <si>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</si>
  <si>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</si>
  <si>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</si>
  <si>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</si>
  <si>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</si>
  <si>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</si>
  <si>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</si>
  <si>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</si>
  <si>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</si>
  <si>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</si>
  <si>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</si>
  <si>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</si>
  <si>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</si>
  <si>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</si>
  <si>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</si>
  <si>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</si>
  <si>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</si>
  <si>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</si>
  <si>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</si>
  <si>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</si>
  <si>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</si>
  <si>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</si>
  <si>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</si>
  <si>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</si>
  <si>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</si>
  <si>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</si>
  <si>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</si>
  <si>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</si>
  <si>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</si>
  <si>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</si>
  <si>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</si>
  <si>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</si>
  <si>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</si>
  <si>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</si>
  <si>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</si>
  <si>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</si>
  <si>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</si>
  <si>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</si>
  <si>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</si>
  <si>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</si>
  <si>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</si>
  <si>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</si>
  <si>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</si>
  <si>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</si>
  <si>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</si>
  <si>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</si>
  <si>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</si>
  <si>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</si>
  <si>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</si>
  <si>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</si>
  <si>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</si>
  <si>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</si>
  <si>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</si>
  <si>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</si>
  <si>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</si>
  <si>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</si>
  <si>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</si>
  <si>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</si>
  <si>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</si>
  <si>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</si>
  <si>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</si>
  <si>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</si>
  <si>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</si>
  <si>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</si>
  <si>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</si>
  <si>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</si>
  <si>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</si>
  <si>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</si>
  <si>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</si>
  <si>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</si>
  <si>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</si>
  <si>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</si>
  <si>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</si>
  <si>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</si>
  <si>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</si>
  <si>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</si>
  <si>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</si>
  <si>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</si>
  <si>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</si>
  <si>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</si>
  <si>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</si>
  <si>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</si>
  <si>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</si>
  <si>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</si>
  <si>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</si>
  <si>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</si>
  <si>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</si>
  <si>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</si>
  <si>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</si>
  <si>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</si>
  <si>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</si>
  <si>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</si>
  <si>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</si>
  <si>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</si>
  <si>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</si>
  <si>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</si>
  <si>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</si>
  <si>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</si>
  <si>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</si>
  <si>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</si>
  <si>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</si>
  <si>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</si>
  <si>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</si>
  <si>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</si>
  <si>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</si>
  <si>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</si>
  <si>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</si>
  <si>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</si>
  <si>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</si>
  <si>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</si>
  <si>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</si>
  <si>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</si>
  <si>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</si>
  <si>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</si>
  <si>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</si>
  <si>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</si>
  <si>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</si>
  <si>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</si>
  <si>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</si>
  <si>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Remaining SAFETEA-LU  appotionments</t>
  </si>
  <si>
    <t>0</t>
  </si>
  <si>
    <t>TUC</t>
  </si>
  <si>
    <t xml:space="preserve">PIMA COUNTY                   </t>
  </si>
  <si>
    <t>PPM</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</si>
  <si>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</si>
  <si>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</si>
  <si>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2014</t>
  </si>
  <si>
    <t>Lapsing</t>
  </si>
  <si>
    <t>PAG-LP01</t>
  </si>
  <si>
    <t>None</t>
  </si>
  <si>
    <t>PAG LAPSING FUNDS - FFY14</t>
  </si>
  <si>
    <t>PAG-FY14L1</t>
  </si>
  <si>
    <t>2015</t>
  </si>
  <si>
    <t>ADOT OA LOAN TO PAG</t>
  </si>
  <si>
    <t>PAG OA Loan Repay to ADOT</t>
  </si>
  <si>
    <t>216</t>
  </si>
  <si>
    <t>TUCSON</t>
  </si>
  <si>
    <t>Loan Out</t>
  </si>
  <si>
    <t>PAG-15L1</t>
  </si>
  <si>
    <t>2017</t>
  </si>
  <si>
    <t>PAG HSIP Loan to ADOT</t>
  </si>
  <si>
    <t>Repayment In</t>
  </si>
  <si>
    <t>Federal Fiscal Year 2016</t>
  </si>
  <si>
    <t>Planned Lapsing - 06/30/16</t>
  </si>
  <si>
    <t>Lapsed - 07/01/16</t>
  </si>
  <si>
    <t>Planned Lapsing - 09/30/16</t>
  </si>
  <si>
    <t>Carry Forward to FFY 17</t>
  </si>
  <si>
    <t>State FY 16 Approved work program amount</t>
  </si>
  <si>
    <t>State FY 16 amount authorized prior to 09/30/15 or Lapsed funding</t>
  </si>
  <si>
    <t xml:space="preserve">State FY 16 amount available for authorization 10/01/15 - 06/30/16 </t>
  </si>
  <si>
    <t>State FY 17 amount avaiilable for authorization 07/1/16 - 09/30/16 (request must be submitted by 09/01/16)</t>
  </si>
  <si>
    <t>Total SPR apportionments for Federal Fiscal Year 16 (as shown on ledger)</t>
  </si>
  <si>
    <t>010</t>
  </si>
  <si>
    <t>D</t>
  </si>
  <si>
    <t>SF02401C</t>
  </si>
  <si>
    <t>MARY ANN CLEVELAND WY AT KUSH CANYON LN</t>
  </si>
  <si>
    <t>240</t>
  </si>
  <si>
    <t>SF04001X</t>
  </si>
  <si>
    <t>33.13</t>
  </si>
  <si>
    <t>PIMA COUNTY BIKING FOR LIFE</t>
  </si>
  <si>
    <t>250</t>
  </si>
  <si>
    <t>SS62401C</t>
  </si>
  <si>
    <t>61.07</t>
  </si>
  <si>
    <t>HOUGHTON ROAD (I-10 TO GOLF LINKS ROAD)</t>
  </si>
  <si>
    <t>201</t>
  </si>
  <si>
    <t>SZ06403D</t>
  </si>
  <si>
    <t>27.11</t>
  </si>
  <si>
    <t>ADA TRANSITION PLAN</t>
  </si>
  <si>
    <t>RLTAP21P</t>
  </si>
  <si>
    <t>VARIOUS</t>
  </si>
  <si>
    <t>LTAP - FY16</t>
  </si>
  <si>
    <t>094</t>
  </si>
  <si>
    <t>A</t>
  </si>
  <si>
    <t>36.13</t>
  </si>
  <si>
    <t>BIKE SAFETY PROGRAM - PIMA COUNTY</t>
  </si>
  <si>
    <t>243</t>
  </si>
  <si>
    <t>SF01301C</t>
  </si>
  <si>
    <t>41.12</t>
  </si>
  <si>
    <t>237</t>
  </si>
  <si>
    <t>89.12</t>
  </si>
  <si>
    <t>25.13</t>
  </si>
  <si>
    <t>SF02601X</t>
  </si>
  <si>
    <t>91.12</t>
  </si>
  <si>
    <t>CITY OF TUCSON - VARIOUS LOCATIONS</t>
  </si>
  <si>
    <t>253</t>
  </si>
  <si>
    <t>SS66301C</t>
  </si>
  <si>
    <t xml:space="preserve">ITS TRAFFIC SIGNAL AND CONTROL EQUIPMENT          </t>
  </si>
  <si>
    <t>213</t>
  </si>
  <si>
    <t>SH47001C</t>
  </si>
  <si>
    <t>58.10</t>
  </si>
  <si>
    <t>Pima County-Various Locations</t>
  </si>
  <si>
    <t>223</t>
  </si>
  <si>
    <t>SL63701C</t>
  </si>
  <si>
    <t>COLUMBUS BLVD: 22ND -TIMROD ST</t>
  </si>
  <si>
    <t>218</t>
  </si>
  <si>
    <t>3.11</t>
  </si>
  <si>
    <t>PAG REGIONAL ROAD SAFETY ASSESSMENT</t>
  </si>
  <si>
    <t>102.02</t>
  </si>
  <si>
    <t>SF03401C</t>
  </si>
  <si>
    <t>E. SUMMIT STREET; OLD NOGALES HWY-EPP</t>
  </si>
  <si>
    <t>242</t>
  </si>
  <si>
    <t>VARIOUS LOCATIONS-TUCSON</t>
  </si>
  <si>
    <t>259</t>
  </si>
  <si>
    <t>SH49901C</t>
  </si>
  <si>
    <t>2.11</t>
  </si>
  <si>
    <t>CITY OF TUCSON CITY STREET SIGN REHAB</t>
  </si>
  <si>
    <t>PAG 105.08</t>
  </si>
  <si>
    <t>PL10122P</t>
  </si>
  <si>
    <t>NA</t>
  </si>
  <si>
    <t>Pima Association of Governments</t>
  </si>
  <si>
    <t>000</t>
  </si>
  <si>
    <t>B</t>
  </si>
  <si>
    <t>188</t>
  </si>
  <si>
    <t>The  OA to apportionments for FFY 16 is 94.9%.  The rate for calculations is 0.949331239483705.</t>
  </si>
  <si>
    <t>PPG1601P</t>
  </si>
  <si>
    <t>PAG STP - 2016 PLANNING</t>
  </si>
  <si>
    <t>999</t>
  </si>
  <si>
    <t>488</t>
  </si>
  <si>
    <t>PPG1603P</t>
  </si>
  <si>
    <t>MARY ANN CLEVELAND WY FROM NONA TO DRISCOLL</t>
  </si>
  <si>
    <t>PL10121P</t>
  </si>
  <si>
    <t>PIMA ASSOCIATION OF GOVERNMENTS</t>
  </si>
  <si>
    <t>186</t>
  </si>
  <si>
    <t>T008501X</t>
  </si>
  <si>
    <t>PAG Tip 87.12, STIP Amd #4</t>
  </si>
  <si>
    <t>SH58903D</t>
  </si>
  <si>
    <t>99.12</t>
  </si>
  <si>
    <t>PIMA CO - LAMBERT LANE/THORNYDALE RD</t>
  </si>
  <si>
    <t>SL70101C</t>
  </si>
  <si>
    <t>CAMINO DE LA TIERRA; RIVER RD - CDO RIVERPATH</t>
  </si>
  <si>
    <t>228</t>
  </si>
  <si>
    <t>2016</t>
  </si>
  <si>
    <t>PAG STP Loan to ADOT</t>
  </si>
  <si>
    <t>H846701C</t>
  </si>
  <si>
    <t>Adot Amend #29, 11207 PAG TIP 41.01</t>
  </si>
  <si>
    <t>I-19, AJO WAY TI (JCT SR 86)</t>
  </si>
  <si>
    <t>019</t>
  </si>
  <si>
    <t>220</t>
  </si>
  <si>
    <t>PAGADOT-16L1</t>
  </si>
  <si>
    <t>256</t>
  </si>
  <si>
    <t>T009601X</t>
  </si>
  <si>
    <t>F000301C</t>
  </si>
  <si>
    <t>10208/21416/3.02</t>
  </si>
  <si>
    <t>INA RD TI</t>
  </si>
  <si>
    <t>81.10</t>
  </si>
  <si>
    <t>475</t>
  </si>
  <si>
    <t>SZ12801X</t>
  </si>
  <si>
    <t>PCA</t>
  </si>
  <si>
    <t>202</t>
  </si>
  <si>
    <t>PPG1703P</t>
  </si>
  <si>
    <t>PAG STP W/ MATCH - 2017 PLANNING</t>
  </si>
  <si>
    <t>T</t>
  </si>
  <si>
    <t>017</t>
  </si>
  <si>
    <t>AC MPA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</si>
</sst>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9"/>
      <color theme="1"/>
      <name val="Arial Unicode MS"/>
      <family val="2"/>
    </font>
    <font>
      <sz val="11"/>
      <color theme="1"/>
      <name val="Calibri"/>
      <family val="2"/>
      <scheme val="minor"/>
    </font>
    <font>
      <sz val="9"/>
      <name val="Arial Unicode MS"/>
      <family val="2"/>
    </font>
    <font>
      <sz val="9"/>
      <color theme="1"/>
      <name val="Calibri"/>
      <family val="2"/>
      <scheme val="minor"/>
    </font>
    <font>
      <sz val="9"/>
      <color theme="1"/>
      <name val="Arial Unicode MS"/>
      <family val="2"/>
    </font>
    <font>
      <sz val="9"/>
      <color theme="1"/>
      <name val="Arial Unicode MS"/>
      <family val="2"/>
    </font>
    <font>
      <sz val="9"/>
      <color theme="1"/>
      <name val="Arial Unicode MS"/>
      <family val="2"/>
    </font>
    <font>
      <sz val="11"/>
      <color theme="1"/>
      <name val="Calibri"/>
      <family val="2"/>
      <scheme val="minor"/>
    </font>
    <font>
      <sz val="9"/>
      <color theme="1"/>
      <name val="Arial Unicode MS"/>
      <family val="2"/>
    </font>
    <font>
      <sz val="9"/>
      <color theme="1"/>
      <name val="Arial Unicode MS"/>
      <family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16">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40" fontId="14" fillId="0" borderId="0" xfId="1" applyNumberFormat="1" applyFont="1" applyAlignment="1">
      <alignment vertical="top" wrapText="1"/>
    </xf>
    <xf numFmtId="164" fontId="14" fillId="0" borderId="0" xfId="0" applyNumberFormat="1" applyFont="1" applyAlignment="1">
      <alignment vertical="top" wrapText="1"/>
    </xf>
    <xf numFmtId="0" fontId="16" fillId="0" borderId="0" xfId="0" applyFont="1" applyAlignment="1">
      <alignment vertical="top" wrapText="1"/>
    </xf>
    <xf numFmtId="0" fontId="14" fillId="0" borderId="0" xfId="0" applyFont="1" applyFill="1" applyBorder="1" applyAlignment="1">
      <alignment vertical="top"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2"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1" fillId="0" borderId="0" xfId="0" applyNumberFormat="1" applyFont="1" applyBorder="1" applyAlignment="1">
      <alignment horizontal="left" vertical="top" wrapText="1"/>
    </xf>
    <xf numFmtId="40" fontId="21"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2" fillId="0" borderId="0" xfId="0" applyNumberFormat="1" applyFont="1" applyBorder="1" applyAlignment="1">
      <alignment vertical="top" wrapText="1"/>
    </xf>
    <xf numFmtId="40" fontId="28" fillId="0" borderId="0" xfId="0" applyNumberFormat="1" applyFont="1" applyFill="1" applyBorder="1" applyAlignment="1">
      <alignment horizontal="right" vertical="top" wrapText="1"/>
    </xf>
    <xf numFmtId="40" fontId="14" fillId="0" borderId="0" xfId="0" applyNumberFormat="1" applyFont="1" applyFill="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8" fillId="0" borderId="0" xfId="0" applyFont="1" applyBorder="1" applyAlignment="1">
      <alignment vertical="top" wrapText="1"/>
    </xf>
    <xf numFmtId="0" fontId="22"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40" fontId="22" fillId="0" borderId="0" xfId="0" applyNumberFormat="1" applyFont="1" applyBorder="1" applyAlignment="1">
      <alignment horizontal="center" vertical="center" wrapText="1"/>
    </xf>
    <xf numFmtId="40" fontId="18" fillId="0" borderId="0" xfId="0" applyNumberFormat="1" applyFont="1" applyBorder="1" applyAlignment="1">
      <alignment vertical="top" wrapText="1"/>
    </xf>
    <xf numFmtId="43" fontId="0" fillId="0" borderId="1" xfId="3" applyFont="1" applyBorder="1"/>
    <xf numFmtId="43" fontId="13" fillId="0" borderId="1" xfId="3" applyFont="1" applyBorder="1"/>
    <xf numFmtId="43" fontId="0" fillId="0" borderId="8" xfId="3" applyFont="1" applyBorder="1"/>
    <xf numFmtId="43" fontId="13" fillId="0" borderId="8" xfId="3" applyFont="1" applyBorder="1"/>
    <xf numFmtId="43" fontId="13" fillId="0" borderId="2" xfId="3" applyFont="1" applyBorder="1"/>
    <xf numFmtId="43" fontId="13" fillId="0" borderId="9" xfId="3" applyFont="1" applyBorder="1"/>
    <xf numFmtId="43" fontId="13" fillId="0" borderId="4" xfId="3" applyFont="1" applyBorder="1"/>
    <xf numFmtId="43" fontId="13" fillId="0" borderId="5"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40" fontId="17" fillId="0" borderId="3" xfId="1" applyNumberFormat="1" applyFont="1" applyFill="1" applyBorder="1" applyAlignment="1">
      <alignment horizontal="center" vertical="center" wrapText="1"/>
    </xf>
    <xf numFmtId="0" fontId="14" fillId="0" borderId="0" xfId="0" applyFont="1" applyAlignment="1">
      <alignment horizontal="left" vertical="top" wrapText="1"/>
    </xf>
    <xf numFmtId="0" fontId="16" fillId="0" borderId="0" xfId="0" applyFont="1" applyAlignment="1">
      <alignment horizontal="left" vertical="top" wrapText="1"/>
    </xf>
    <xf numFmtId="43" fontId="13" fillId="0" borderId="0" xfId="3" applyFont="1" applyBorder="1"/>
    <xf numFmtId="43" fontId="0" fillId="0" borderId="6" xfId="3" applyFont="1" applyBorder="1"/>
    <xf numFmtId="43" fontId="0" fillId="0" borderId="3" xfId="3" applyFont="1" applyBorder="1"/>
    <xf numFmtId="43" fontId="0" fillId="0" borderId="7" xfId="3" applyFont="1" applyBorder="1"/>
    <xf numFmtId="40" fontId="18" fillId="0" borderId="0" xfId="3" applyNumberFormat="1" applyFont="1" applyBorder="1" applyAlignment="1">
      <alignmen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4"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0" fontId="27" fillId="0" borderId="0" xfId="1" applyNumberFormat="1" applyFont="1" applyFill="1" applyBorder="1" applyAlignment="1">
      <alignment vertical="center" wrapText="1"/>
    </xf>
    <xf numFmtId="0" fontId="18" fillId="0" borderId="0" xfId="0" applyFont="1" applyBorder="1" applyAlignment="1">
      <alignment horizontal="left" vertical="top" wrapText="1"/>
    </xf>
    <xf numFmtId="14" fontId="17" fillId="0" borderId="6" xfId="1" applyNumberFormat="1" applyFont="1" applyFill="1" applyBorder="1" applyAlignment="1">
      <alignment horizontal="center" vertical="center" wrapText="1"/>
    </xf>
    <xf numFmtId="40" fontId="17" fillId="2" borderId="7" xfId="1" applyNumberFormat="1" applyFont="1" applyFill="1" applyBorder="1" applyAlignment="1">
      <alignment horizontal="center" vertical="center" wrapText="1"/>
    </xf>
    <xf numFmtId="40" fontId="18" fillId="0" borderId="0" xfId="0" applyNumberFormat="1" applyFont="1" applyBorder="1" applyAlignment="1">
      <alignment horizontal="right" vertical="center" wrapText="1"/>
    </xf>
    <xf numFmtId="40" fontId="16" fillId="0" borderId="0" xfId="0" applyNumberFormat="1" applyFont="1" applyBorder="1" applyAlignment="1">
      <alignment vertical="center" wrapText="1"/>
    </xf>
    <xf numFmtId="14" fontId="18" fillId="0" borderId="8" xfId="0" applyNumberFormat="1" applyFont="1" applyBorder="1" applyAlignment="1">
      <alignment horizontal="left" vertical="center" wrapText="1"/>
    </xf>
    <xf numFmtId="14" fontId="18" fillId="0" borderId="8" xfId="0" applyNumberFormat="1" applyFont="1" applyFill="1" applyBorder="1" applyAlignment="1">
      <alignment horizontal="left" vertical="center" wrapText="1"/>
    </xf>
    <xf numFmtId="14" fontId="24" fillId="0" borderId="18" xfId="0" applyNumberFormat="1" applyFont="1" applyBorder="1" applyAlignment="1">
      <alignment horizontal="left" vertical="center" wrapText="1"/>
    </xf>
    <xf numFmtId="40" fontId="21" fillId="0" borderId="0" xfId="0" applyNumberFormat="1" applyFont="1" applyBorder="1" applyAlignment="1">
      <alignment horizontal="center" vertical="top" wrapText="1"/>
    </xf>
    <xf numFmtId="40" fontId="22" fillId="0" borderId="0" xfId="0" applyNumberFormat="1" applyFont="1" applyAlignment="1">
      <alignment horizontal="center" vertical="top" wrapText="1"/>
    </xf>
    <xf numFmtId="40" fontId="22" fillId="0" borderId="0" xfId="0" applyNumberFormat="1" applyFont="1" applyBorder="1" applyAlignment="1">
      <alignment horizontal="center" vertical="top" wrapText="1"/>
    </xf>
    <xf numFmtId="40" fontId="22" fillId="2" borderId="0" xfId="0" applyNumberFormat="1" applyFont="1" applyFill="1" applyBorder="1" applyAlignment="1">
      <alignment horizontal="center" vertical="top" wrapText="1"/>
    </xf>
    <xf numFmtId="0" fontId="0" fillId="0" borderId="0" xfId="0" applyAlignment="1">
      <alignment vertical="top" wrapText="1"/>
    </xf>
    <xf numFmtId="14" fontId="18" fillId="0" borderId="0" xfId="0" applyNumberFormat="1" applyFont="1" applyAlignment="1">
      <alignment horizontal="center" vertical="top" wrapText="1"/>
    </xf>
    <xf numFmtId="14" fontId="18" fillId="0" borderId="0" xfId="0" applyNumberFormat="1" applyFont="1" applyBorder="1" applyAlignment="1">
      <alignment horizontal="center" vertical="top" wrapText="1"/>
    </xf>
    <xf numFmtId="40" fontId="18" fillId="0" borderId="0" xfId="0" applyNumberFormat="1" applyFont="1" applyBorder="1" applyAlignment="1">
      <alignment horizontal="right" vertical="top" wrapText="1"/>
    </xf>
    <xf numFmtId="0" fontId="18" fillId="0" borderId="0" xfId="0" applyFont="1" applyBorder="1" applyAlignment="1">
      <alignment horizontal="center" vertical="top" wrapText="1"/>
    </xf>
    <xf numFmtId="40" fontId="18" fillId="0" borderId="0" xfId="0" applyNumberFormat="1" applyFont="1" applyBorder="1" applyAlignment="1">
      <alignment horizontal="center" vertical="top" wrapText="1"/>
    </xf>
    <xf numFmtId="40" fontId="18" fillId="0" borderId="0" xfId="0" applyNumberFormat="1" applyFont="1" applyAlignment="1">
      <alignment horizontal="center" vertical="top" wrapText="1"/>
    </xf>
    <xf numFmtId="14" fontId="14"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40" fontId="17" fillId="0" borderId="12" xfId="1" applyNumberFormat="1" applyFont="1" applyBorder="1" applyAlignment="1">
      <alignment horizontal="center" vertical="top" wrapText="1"/>
    </xf>
    <xf numFmtId="40" fontId="17" fillId="2" borderId="17" xfId="1" applyNumberFormat="1" applyFont="1" applyFill="1" applyBorder="1" applyAlignment="1">
      <alignment horizontal="center" vertical="top" wrapText="1"/>
    </xf>
    <xf numFmtId="40" fontId="18" fillId="2" borderId="0" xfId="0" applyNumberFormat="1" applyFont="1" applyFill="1" applyBorder="1" applyAlignment="1">
      <alignment horizontal="center" vertical="top" wrapText="1"/>
    </xf>
    <xf numFmtId="14" fontId="24" fillId="0" borderId="3" xfId="0" applyNumberFormat="1" applyFont="1" applyBorder="1" applyAlignment="1">
      <alignment horizontal="center" vertical="top" wrapText="1"/>
    </xf>
    <xf numFmtId="14" fontId="24" fillId="0" borderId="1" xfId="0" applyNumberFormat="1" applyFont="1" applyBorder="1" applyAlignment="1">
      <alignment horizontal="center" vertical="top"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40" fontId="18" fillId="0" borderId="0" xfId="0" applyNumberFormat="1" applyFont="1" applyFill="1" applyBorder="1" applyAlignment="1">
      <alignment vertical="top" wrapText="1"/>
    </xf>
    <xf numFmtId="164" fontId="18" fillId="0" borderId="0" xfId="0" applyNumberFormat="1" applyFont="1" applyBorder="1" applyAlignment="1">
      <alignment vertical="top" wrapText="1"/>
    </xf>
    <xf numFmtId="40" fontId="24" fillId="0" borderId="0" xfId="0" applyNumberFormat="1" applyFont="1" applyBorder="1" applyAlignment="1">
      <alignment horizontal="center" vertical="top" wrapText="1"/>
    </xf>
    <xf numFmtId="40" fontId="18" fillId="0" borderId="0" xfId="0" applyNumberFormat="1" applyFont="1" applyBorder="1" applyAlignment="1">
      <alignment horizontal="right" vertical="top"/>
    </xf>
    <xf numFmtId="40" fontId="18" fillId="0" borderId="0" xfId="0" applyNumberFormat="1" applyFont="1" applyBorder="1" applyAlignment="1">
      <alignment vertical="top"/>
    </xf>
    <xf numFmtId="43" fontId="31" fillId="0" borderId="8" xfId="3" applyFont="1" applyBorder="1"/>
    <xf numFmtId="43" fontId="31" fillId="0" borderId="1" xfId="3" applyFont="1" applyBorder="1"/>
    <xf numFmtId="43" fontId="31" fillId="0" borderId="2" xfId="3" applyFont="1" applyBorder="1"/>
    <xf numFmtId="14" fontId="20" fillId="0" borderId="0" xfId="0" applyNumberFormat="1" applyFont="1" applyBorder="1" applyAlignment="1">
      <alignment horizontal="right" vertical="top"/>
    </xf>
    <xf numFmtId="14" fontId="24" fillId="0" borderId="0" xfId="0" applyNumberFormat="1" applyFont="1" applyBorder="1" applyAlignment="1">
      <alignment horizontal="right" vertical="top"/>
    </xf>
    <xf numFmtId="40" fontId="18" fillId="0" borderId="1" xfId="3" applyNumberFormat="1" applyFont="1" applyBorder="1" applyAlignment="1">
      <alignment vertical="top"/>
    </xf>
    <xf numFmtId="40" fontId="18" fillId="0" borderId="2" xfId="3" applyNumberFormat="1" applyFont="1" applyBorder="1" applyAlignment="1">
      <alignment vertical="top"/>
    </xf>
    <xf numFmtId="40" fontId="30" fillId="0" borderId="21" xfId="3" applyNumberFormat="1" applyFont="1" applyBorder="1" applyAlignment="1">
      <alignment vertical="top"/>
    </xf>
    <xf numFmtId="40" fontId="18" fillId="0" borderId="0" xfId="3" applyNumberFormat="1" applyFont="1" applyBorder="1" applyAlignment="1">
      <alignment vertical="top"/>
    </xf>
    <xf numFmtId="40" fontId="18" fillId="0" borderId="9" xfId="3" applyNumberFormat="1" applyFont="1" applyFill="1" applyBorder="1" applyAlignment="1">
      <alignment vertical="top"/>
    </xf>
    <xf numFmtId="40" fontId="18" fillId="0" borderId="5" xfId="3" applyNumberFormat="1" applyFont="1" applyFill="1" applyBorder="1" applyAlignment="1">
      <alignment vertical="top"/>
    </xf>
    <xf numFmtId="40" fontId="18" fillId="0" borderId="21" xfId="3" applyNumberFormat="1" applyFont="1" applyBorder="1" applyAlignment="1">
      <alignment vertical="top"/>
    </xf>
    <xf numFmtId="40" fontId="25" fillId="0" borderId="2" xfId="3" applyNumberFormat="1" applyFont="1" applyBorder="1" applyAlignment="1">
      <alignment vertical="top"/>
    </xf>
    <xf numFmtId="40" fontId="32" fillId="0" borderId="2" xfId="3" applyNumberFormat="1" applyFont="1" applyBorder="1" applyAlignment="1">
      <alignment vertical="top"/>
    </xf>
    <xf numFmtId="40" fontId="18" fillId="0" borderId="0" xfId="0" applyNumberFormat="1" applyFont="1" applyAlignment="1">
      <alignment vertical="top" wrapText="1"/>
    </xf>
    <xf numFmtId="40" fontId="18" fillId="0" borderId="0" xfId="0" applyNumberFormat="1" applyFont="1" applyAlignment="1">
      <alignment horizontal="left" vertical="top" wrapText="1"/>
    </xf>
    <xf numFmtId="14" fontId="18" fillId="0" borderId="0" xfId="0" applyNumberFormat="1" applyFont="1" applyAlignment="1">
      <alignment vertical="top" wrapText="1"/>
    </xf>
    <xf numFmtId="0" fontId="18" fillId="0" borderId="0" xfId="0" applyFont="1" applyFill="1" applyBorder="1" applyAlignment="1">
      <alignment vertical="top" wrapText="1"/>
    </xf>
    <xf numFmtId="0" fontId="33" fillId="0" borderId="0" xfId="0" applyFont="1" applyAlignment="1">
      <alignment vertical="top" wrapText="1"/>
    </xf>
    <xf numFmtId="40" fontId="18" fillId="0" borderId="3" xfId="0" applyNumberFormat="1" applyFont="1" applyFill="1" applyBorder="1" applyAlignment="1">
      <alignment horizontal="right" vertical="top"/>
    </xf>
    <xf numFmtId="40" fontId="18" fillId="0" borderId="1" xfId="0" applyNumberFormat="1" applyFont="1" applyFill="1" applyBorder="1" applyAlignment="1">
      <alignment horizontal="right" vertical="top"/>
    </xf>
    <xf numFmtId="40" fontId="18" fillId="0" borderId="1" xfId="0" applyNumberFormat="1" applyFont="1" applyFill="1" applyBorder="1" applyAlignment="1">
      <alignment vertical="top"/>
    </xf>
    <xf numFmtId="40" fontId="18" fillId="0" borderId="0" xfId="0" applyNumberFormat="1" applyFont="1" applyBorder="1" applyAlignment="1">
      <alignment horizontal="center" vertical="center" wrapText="1"/>
    </xf>
    <xf numFmtId="43" fontId="0" fillId="0" borderId="9" xfId="3" applyFont="1" applyBorder="1"/>
    <xf numFmtId="43" fontId="0" fillId="0" borderId="4" xfId="3" applyFont="1" applyBorder="1"/>
    <xf numFmtId="43" fontId="0" fillId="0" borderId="5" xfId="3" applyFont="1" applyBorder="1"/>
    <xf numFmtId="43" fontId="0" fillId="0" borderId="23" xfId="3" applyFont="1" applyBorder="1"/>
    <xf numFmtId="43" fontId="0" fillId="0" borderId="24" xfId="3" applyFont="1" applyBorder="1"/>
    <xf numFmtId="43" fontId="0" fillId="0" borderId="22" xfId="3" applyFont="1" applyBorder="1"/>
    <xf numFmtId="40" fontId="18" fillId="0" borderId="0" xfId="3" applyNumberFormat="1" applyFont="1" applyAlignment="1">
      <alignment horizontal="right" vertical="top"/>
    </xf>
    <xf numFmtId="40" fontId="18" fillId="0" borderId="1" xfId="0" applyNumberFormat="1" applyFont="1" applyBorder="1" applyAlignment="1">
      <alignment vertical="top"/>
    </xf>
    <xf numFmtId="40" fontId="18" fillId="0" borderId="2" xfId="0" applyNumberFormat="1" applyFont="1" applyBorder="1" applyAlignment="1">
      <alignment vertical="top"/>
    </xf>
    <xf numFmtId="40" fontId="18" fillId="0" borderId="2" xfId="0" applyNumberFormat="1" applyFont="1" applyFill="1" applyBorder="1" applyAlignment="1">
      <alignment vertical="top"/>
    </xf>
    <xf numFmtId="40" fontId="24" fillId="0" borderId="19" xfId="0" applyNumberFormat="1" applyFont="1" applyFill="1" applyBorder="1" applyAlignment="1">
      <alignment vertical="top"/>
    </xf>
    <xf numFmtId="40" fontId="24" fillId="0" borderId="20" xfId="0" applyNumberFormat="1" applyFont="1" applyFill="1" applyBorder="1" applyAlignment="1">
      <alignment vertical="top"/>
    </xf>
    <xf numFmtId="40" fontId="34" fillId="0" borderId="0" xfId="0" applyNumberFormat="1" applyFont="1" applyAlignment="1">
      <alignment vertical="top" wrapText="1"/>
    </xf>
    <xf numFmtId="40" fontId="34" fillId="0" borderId="0" xfId="0" applyNumberFormat="1" applyFont="1" applyAlignment="1">
      <alignment horizontal="left" vertical="top" wrapText="1"/>
    </xf>
    <xf numFmtId="14" fontId="34" fillId="0" borderId="0" xfId="0" applyNumberFormat="1" applyFont="1" applyAlignment="1">
      <alignment horizontal="center" vertical="top" wrapText="1"/>
    </xf>
    <xf numFmtId="0" fontId="18" fillId="0" borderId="0" xfId="0" applyFont="1" applyAlignment="1">
      <alignment vertical="top"/>
    </xf>
    <xf numFmtId="0" fontId="18" fillId="0" borderId="0" xfId="0" applyFont="1" applyBorder="1" applyAlignment="1">
      <alignment horizontal="left" vertical="top"/>
    </xf>
    <xf numFmtId="0" fontId="18" fillId="0" borderId="0" xfId="0" applyFont="1" applyAlignment="1">
      <alignment wrapText="1"/>
    </xf>
    <xf numFmtId="14" fontId="34" fillId="0" borderId="0" xfId="0" applyNumberFormat="1" applyFont="1" applyAlignment="1">
      <alignment vertical="top" wrapText="1"/>
    </xf>
    <xf numFmtId="40" fontId="34" fillId="0" borderId="0" xfId="3" applyNumberFormat="1" applyFont="1" applyAlignment="1">
      <alignment horizontal="right" vertical="top"/>
    </xf>
    <xf numFmtId="40" fontId="35" fillId="0" borderId="0" xfId="0" applyNumberFormat="1" applyFont="1" applyAlignment="1">
      <alignment vertical="top" wrapText="1"/>
    </xf>
    <xf numFmtId="40" fontId="35" fillId="0" borderId="0" xfId="0" applyNumberFormat="1" applyFont="1" applyAlignment="1">
      <alignment horizontal="left" vertical="top" wrapText="1"/>
    </xf>
    <xf numFmtId="14" fontId="35" fillId="0" borderId="0" xfId="0" applyNumberFormat="1" applyFont="1" applyAlignment="1">
      <alignment vertical="top" wrapText="1"/>
    </xf>
    <xf numFmtId="14" fontId="35" fillId="0" borderId="0" xfId="0" applyNumberFormat="1" applyFont="1" applyAlignment="1">
      <alignment horizontal="center" vertical="top" wrapText="1"/>
    </xf>
    <xf numFmtId="40" fontId="35" fillId="0" borderId="0" xfId="3" applyNumberFormat="1" applyFont="1" applyAlignment="1">
      <alignment horizontal="right" vertical="top"/>
    </xf>
    <xf numFmtId="40" fontId="36" fillId="0" borderId="0" xfId="0" applyNumberFormat="1" applyFont="1" applyAlignment="1">
      <alignment vertical="top" wrapText="1"/>
    </xf>
    <xf numFmtId="40" fontId="36" fillId="0" borderId="0" xfId="0" applyNumberFormat="1" applyFont="1" applyAlignment="1">
      <alignment horizontal="left" vertical="top" wrapText="1"/>
    </xf>
    <xf numFmtId="14" fontId="36" fillId="0" borderId="0" xfId="0" applyNumberFormat="1" applyFont="1" applyAlignment="1">
      <alignment vertical="top" wrapText="1"/>
    </xf>
    <xf numFmtId="14" fontId="36" fillId="0" borderId="0" xfId="0" applyNumberFormat="1" applyFont="1" applyAlignment="1">
      <alignment horizontal="center" vertical="top" wrapText="1"/>
    </xf>
    <xf numFmtId="40" fontId="36" fillId="0" borderId="0" xfId="3" applyNumberFormat="1" applyFont="1" applyAlignment="1">
      <alignment horizontal="right" vertical="top"/>
    </xf>
    <xf numFmtId="43" fontId="37" fillId="0" borderId="0" xfId="3" applyFont="1"/>
    <xf numFmtId="43" fontId="37" fillId="0" borderId="9" xfId="3" applyFont="1" applyBorder="1"/>
    <xf numFmtId="43" fontId="37" fillId="0" borderId="23" xfId="3" applyFont="1" applyBorder="1"/>
    <xf numFmtId="43" fontId="37" fillId="0" borderId="4" xfId="3" applyFont="1" applyBorder="1"/>
    <xf numFmtId="43" fontId="37" fillId="0" borderId="24" xfId="3" applyFont="1" applyBorder="1"/>
    <xf numFmtId="43" fontId="37" fillId="0" borderId="5" xfId="3" applyFont="1" applyBorder="1"/>
    <xf numFmtId="43" fontId="37" fillId="0" borderId="22" xfId="3" applyFont="1" applyBorder="1"/>
    <xf numFmtId="40" fontId="38" fillId="0" borderId="0" xfId="0" applyNumberFormat="1" applyFont="1" applyAlignment="1">
      <alignment vertical="top" wrapText="1"/>
    </xf>
    <xf numFmtId="40" fontId="38" fillId="0" borderId="0" xfId="0" applyNumberFormat="1" applyFont="1" applyAlignment="1">
      <alignment horizontal="left" vertical="top" wrapText="1"/>
    </xf>
    <xf numFmtId="14" fontId="38" fillId="0" borderId="0" xfId="0" applyNumberFormat="1" applyFont="1" applyAlignment="1">
      <alignment vertical="top" wrapText="1"/>
    </xf>
    <xf numFmtId="14" fontId="38" fillId="0" borderId="0" xfId="0" applyNumberFormat="1" applyFont="1" applyAlignment="1">
      <alignment horizontal="center" vertical="top" wrapText="1"/>
    </xf>
    <xf numFmtId="40" fontId="38" fillId="0" borderId="0" xfId="3" applyNumberFormat="1" applyFont="1" applyAlignment="1">
      <alignment horizontal="right" vertical="top"/>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14" fontId="39" fillId="0" borderId="0" xfId="0" applyNumberFormat="1" applyFont="1" applyAlignment="1">
      <alignment vertical="top" wrapText="1"/>
    </xf>
    <xf numFmtId="14" fontId="39" fillId="0" borderId="0" xfId="0" applyNumberFormat="1" applyFont="1" applyAlignment="1">
      <alignment horizontal="center" vertical="top" wrapText="1"/>
    </xf>
    <xf numFmtId="40" fontId="39" fillId="0" borderId="0" xfId="3" applyNumberFormat="1" applyFont="1" applyAlignment="1">
      <alignment horizontal="right" vertical="top"/>
    </xf>
    <xf numFmtId="0" fontId="26" fillId="0" borderId="0" xfId="0" applyFont="1" applyAlignment="1">
      <alignment horizontal="left" vertical="top" wrapText="1"/>
    </xf>
    <xf numFmtId="40" fontId="27" fillId="4" borderId="13" xfId="1" applyNumberFormat="1" applyFont="1" applyFill="1" applyBorder="1" applyAlignment="1">
      <alignment horizontal="center" vertical="center" wrapText="1"/>
    </xf>
    <xf numFmtId="40" fontId="27" fillId="4" borderId="14" xfId="1" applyNumberFormat="1" applyFont="1" applyFill="1" applyBorder="1" applyAlignment="1">
      <alignment horizontal="center" vertical="center" wrapText="1"/>
    </xf>
    <xf numFmtId="40" fontId="27" fillId="4" borderId="15" xfId="1" applyNumberFormat="1" applyFont="1" applyFill="1" applyBorder="1" applyAlignment="1">
      <alignment horizontal="center" vertical="center" wrapText="1"/>
    </xf>
    <xf numFmtId="40" fontId="21" fillId="0" borderId="0" xfId="0" applyNumberFormat="1" applyFont="1" applyBorder="1" applyAlignment="1">
      <alignment horizontal="center" vertical="top" wrapText="1"/>
    </xf>
    <xf numFmtId="40" fontId="16" fillId="0" borderId="16" xfId="0" applyNumberFormat="1" applyFont="1" applyBorder="1" applyAlignment="1">
      <alignment horizontal="center" vertical="center" wrapText="1"/>
    </xf>
    <xf numFmtId="40" fontId="16" fillId="0" borderId="0" xfId="0" applyNumberFormat="1" applyFont="1" applyBorder="1" applyAlignment="1">
      <alignment horizontal="center" vertical="center" wrapText="1"/>
    </xf>
    <xf numFmtId="0" fontId="29"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14" fontId="16" fillId="0" borderId="5"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14" fontId="16" fillId="0" borderId="9" xfId="0" applyNumberFormat="1" applyFont="1" applyBorder="1" applyAlignment="1">
      <alignment horizontal="center" vertical="center" wrapText="1"/>
    </xf>
    <xf numFmtId="0" fontId="14" fillId="0" borderId="0" xfId="0" applyFont="1" applyAlignment="1">
      <alignment horizontal="left" vertical="center"/>
    </xf>
    <xf numFmtId="0" fontId="26" fillId="0" borderId="0" xfId="0" applyFont="1" applyAlignment="1">
      <alignment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27">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bottom"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6"/>
      <tableStyleElement type="firstRowStripe" dxfId="125"/>
    </tableStyle>
    <tableStyle name="Table Style 2" pivot="0" count="1">
      <tableStyleElement type="firstRowStripe" dxfId="124"/>
    </tableStyle>
    <tableStyle name="Table Style 3" pivot="0" count="1">
      <tableStyleElement type="firstRowStripe" dxfId="123"/>
    </tableStyle>
    <tableStyle name="Table Style 4" pivot="0" count="3">
      <tableStyleElement type="wholeTable" dxfId="122"/>
      <tableStyleElement type="headerRow" dxfId="121"/>
      <tableStyleElement type="firstRowStripe" dxfId="120"/>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0" dataBound="0" tableColumnId="20"/>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7" name="STP OVER 200K" tableColumnId="17"/>
      <queryTableField id="18" name="TA OTHER" tableColumnId="18"/>
      <queryTableField id="19" name="TA OVER 200K" tableColumnId="19"/>
      <queryTableField id="21" dataBound="0" tableColumnId="21"/>
      <queryTableField id="22"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0" dataBound="0" tableColumnId="20"/>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7" name="STP OVER 200K" tableColumnId="17"/>
      <queryTableField id="18" name="TA OTHER" tableColumnId="18"/>
      <queryTableField id="19" name="TA OVER 200K" tableColumnId="19"/>
      <queryTableField id="21" dataBound="0" tableColumnId="21"/>
      <queryTableField id="22"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3" totalsRowShown="0" headerRowDxfId="119" dataDxfId="117" headerRowBorderDxfId="118" tableBorderDxfId="116" totalsRowBorderDxfId="115" headerRowCellStyle="Currency">
  <autoFilter ref="M3:V13"/>
  <tableColumns count="10">
    <tableColumn id="1" name="Description" dataDxfId="114"/>
    <tableColumn id="4" name="HSIP/3" dataDxfId="113"/>
    <tableColumn id="2" name="PL" dataDxfId="112"/>
    <tableColumn id="5" name="SPR /4" dataDxfId="111"/>
    <tableColumn id="6" name="STP other" dataDxfId="110"/>
    <tableColumn id="11" name="STP OVER 200K" dataDxfId="109"/>
    <tableColumn id="12" name="TA OTHER" dataDxfId="108"/>
    <tableColumn id="13" name="TA OVER 200K" dataDxfId="107"/>
    <tableColumn id="7" name="Total" dataDxfId="106"/>
    <tableColumn id="8" name="FFY OBLIGATION AUTHORITY /2" dataDxfId="105"/>
  </tableColumns>
  <tableStyleInfo name="Table Style 4" showFirstColumn="0" showLastColumn="0" showRowStripes="1" showColumnStripes="0"/>
</table>
</file>

<file path=xl/tables/table2.xml><?xml version="1.0" encoding="utf-8"?>
<table xmlns="http://schemas.openxmlformats.org/spreadsheetml/2006/main" id="6" name="Table6" displayName="Table6" ref="N58:V62" totalsRowShown="0" headerRowDxfId="104" dataDxfId="102" headerRowBorderDxfId="103" tableBorderDxfId="101" totalsRowBorderDxfId="100" headerRowCellStyle="Currency" dataCellStyle="Comma">
  <autoFilter ref="N58:V62"/>
  <tableColumns count="9">
    <tableColumn id="3" name="HSIP" dataDxfId="99" dataCellStyle="Comma">
      <calculatedColumnFormula>+N58-#REF!</calculatedColumnFormula>
    </tableColumn>
    <tableColumn id="4" name="PL" dataDxfId="98" dataCellStyle="Comma">
      <calculatedColumnFormula>+O58-#REF!</calculatedColumnFormula>
    </tableColumn>
    <tableColumn id="5" name="SPR" dataDxfId="97" dataCellStyle="Comma">
      <calculatedColumnFormula>+P58-#REF!</calculatedColumnFormula>
    </tableColumn>
    <tableColumn id="6" name="STP OTHER" dataDxfId="96" dataCellStyle="Comma">
      <calculatedColumnFormula>+#REF!-Q58</calculatedColumnFormula>
    </tableColumn>
    <tableColumn id="7" name="STP OVER 200K" dataDxfId="95" dataCellStyle="Comma">
      <calculatedColumnFormula>+#REF!-R58</calculatedColumnFormula>
    </tableColumn>
    <tableColumn id="8" name="TA OTHER" dataDxfId="94" dataCellStyle="Comma">
      <calculatedColumnFormula>+#REF!-S58</calculatedColumnFormula>
    </tableColumn>
    <tableColumn id="9" name="TA OVER 200K" dataDxfId="93" dataCellStyle="Comma">
      <calculatedColumnFormula>+#REF!-T58</calculatedColumnFormula>
    </tableColumn>
    <tableColumn id="10" name="Total" dataDxfId="92" dataCellStyle="Comma">
      <calculatedColumnFormula>+SUM(#REF!)</calculatedColumnFormula>
    </tableColumn>
    <tableColumn id="11" name="OA" dataDxfId="91" dataCellStyle="Comma">
      <calculatedColumnFormula>+#REF!-V58</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V45" tableType="queryTable" totalsRowShown="0" headerRowDxfId="90" dataDxfId="89">
  <autoFilter ref="A16:V45"/>
  <sortState ref="A17:V45">
    <sortCondition ref="M16:M45"/>
  </sortState>
  <tableColumns count="22">
    <tableColumn id="1" uniqueName="1" name="ADOT#" queryTableFieldId="1" dataDxfId="57"/>
    <tableColumn id="2" uniqueName="2" name="TIP#" queryTableFieldId="2" dataDxfId="56"/>
    <tableColumn id="3" uniqueName="3" name="Sponsor" queryTableFieldId="3" dataDxfId="55"/>
    <tableColumn id="4" uniqueName="4" name="Action/15" queryTableFieldId="4" dataDxfId="54"/>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0" uniqueName="20" name="FED #" queryTableFieldId="20" dataDxfId="49">
      <calculatedColumnFormula>CONCATENATE(Table_Query_from_MS_Access_Database4[[#This Row],[RTE]],Table_Query_from_MS_Access_Database4[[#This Row],[SEC]],Table_Query_from_MS_Access_Database4[[#This Row],[SEQ]])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SIP" queryTableFieldId="13" dataDxfId="44" dataCellStyle="Comma"/>
    <tableColumn id="14" uniqueName="14" name="PL" queryTableFieldId="14" dataDxfId="43" dataCellStyle="Comma"/>
    <tableColumn id="15" uniqueName="15" name="SPR" queryTableFieldId="15" dataDxfId="42" dataCellStyle="Comma"/>
    <tableColumn id="16" uniqueName="16" name="STP OTHER" queryTableFieldId="16" dataDxfId="41" dataCellStyle="Comma"/>
    <tableColumn id="17" uniqueName="17" name="STP OVER 200K" queryTableFieldId="17" dataDxfId="40" dataCellStyle="Comma"/>
    <tableColumn id="18" uniqueName="18" name="TA OTHER" queryTableFieldId="18" dataDxfId="39" dataCellStyle="Comma"/>
    <tableColumn id="19" uniqueName="19" name="TA OVER 200K" queryTableFieldId="19" dataDxfId="38" dataCellStyle="Comma"/>
    <tableColumn id="21" uniqueName="21" name="TOTAL OF AMOUNT" queryTableFieldId="21" dataDxfId="37" dataCellStyle="Comma">
      <calculatedColumnFormula>+SUM(Table_Query_from_MS_Access_Database4[[#This Row],[HSIP]:[TA OVER 200K]])</calculatedColumnFormula>
    </tableColumn>
    <tableColumn id="22" uniqueName="22" name="DECLINING BALANCE OA" queryTableFieldId="22" dataDxfId="0" dataCellStyle="Comma">
      <calculatedColumnFormula>V13-Table_Query_from_MS_Access_Database4[TOTAL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50:V51" tableType="queryTable" totalsRowShown="0" headerRowDxfId="88" dataDxfId="87">
  <autoFilter ref="A50:V51"/>
  <tableColumns count="22">
    <tableColumn id="1" uniqueName="1" name="ADOT#" queryTableFieldId="1" dataDxfId="79"/>
    <tableColumn id="2" uniqueName="2" name="TIP#" queryTableFieldId="2" dataDxfId="78"/>
    <tableColumn id="3" uniqueName="3" name="Sponsor" queryTableFieldId="3" dataDxfId="77"/>
    <tableColumn id="4" uniqueName="4" name="Action/15" queryTableFieldId="4" dataDxfId="76"/>
    <tableColumn id="5" uniqueName="5" name="Location" queryTableFieldId="5" dataDxfId="75"/>
    <tableColumn id="6" uniqueName="6" name="RTE" queryTableFieldId="6" dataDxfId="74"/>
    <tableColumn id="7" uniqueName="7" name="SEC" queryTableFieldId="7" dataDxfId="73"/>
    <tableColumn id="8" uniqueName="8" name="SEQ" queryTableFieldId="8" dataDxfId="72"/>
    <tableColumn id="20" uniqueName="20" name="FED #" queryTableFieldId="20" dataDxfId="71">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70"/>
    <tableColumn id="10" uniqueName="10" name="PB Received" queryTableFieldId="10" dataDxfId="69"/>
    <tableColumn id="11" uniqueName="11" name="PF Transmitted" queryTableFieldId="11" dataDxfId="68"/>
    <tableColumn id="12" uniqueName="12" name="Finance Authorization" queryTableFieldId="12" dataDxfId="67"/>
    <tableColumn id="13" uniqueName="13" name="HSIP" queryTableFieldId="13" dataDxfId="66"/>
    <tableColumn id="14" uniqueName="14" name="PL" queryTableFieldId="14" dataDxfId="65"/>
    <tableColumn id="15" uniqueName="15" name="SPR" queryTableFieldId="15" dataDxfId="64"/>
    <tableColumn id="16" uniqueName="16" name="STP OTHER" queryTableFieldId="16" dataDxfId="63"/>
    <tableColumn id="17" uniqueName="17" name="STP OVER 200K" queryTableFieldId="17" dataDxfId="62"/>
    <tableColumn id="18" uniqueName="18" name="TA OTHER" queryTableFieldId="18" dataDxfId="61"/>
    <tableColumn id="19" uniqueName="19" name="TA OVER 200K" queryTableFieldId="19" dataDxfId="60"/>
    <tableColumn id="21" uniqueName="21" name="TOTAL OF AMOUNT" queryTableFieldId="21" dataDxfId="59">
      <calculatedColumnFormula>+SUM(Table_Query_from_MS_Access_Database_1[[#This Row],[HSIP]:[TA OVER 200K]])</calculatedColumnFormula>
    </tableColumn>
    <tableColumn id="22" uniqueName="22" name="EXPECTED DECLINING BALANCE OA" queryTableFieldId="22" dataDxfId="58">
      <calculatedColumnFormula>V45-Table_Query_from_MS_Access_Database_1[TOTAL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R22" tableType="queryTable" totalsRowShown="0" headerRowDxfId="86" headerRowBorderDxfId="85" tableBorderDxfId="84" totalsRowBorderDxfId="83" headerRowCellStyle="Comma" dataCellStyle="Comma">
  <autoFilter ref="A11:R22"/>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25:R35" tableType="queryTable" totalsRowShown="0" headerRowDxfId="82" dataDxfId="81" tableBorderDxfId="80" headerRowCellStyle="Comma" dataCellStyle="Comma">
  <autoFilter ref="A25:R35"/>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71"/>
  <sheetViews>
    <sheetView tabSelected="1" zoomScale="90" zoomScaleNormal="90" zoomScaleSheetLayoutView="90"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6" width="4.88671875" style="33" hidden="1" customWidth="1"/>
    <col min="7" max="8" width="5" style="33" hidden="1" customWidth="1"/>
    <col min="9" max="9" width="11.5546875" style="33" customWidth="1"/>
    <col min="10" max="12" width="15.77734375" style="77" customWidth="1"/>
    <col min="13" max="13" width="23.77734375" style="77" customWidth="1"/>
    <col min="14" max="21" width="14.77734375" style="35" customWidth="1"/>
    <col min="22" max="22" width="18.77734375" style="35" customWidth="1"/>
    <col min="23" max="23" width="3.44140625" style="35" bestFit="1" customWidth="1"/>
    <col min="24" max="24" width="24.33203125" style="33" customWidth="1"/>
    <col min="25" max="16384" width="32" style="33"/>
  </cols>
  <sheetData>
    <row r="1" spans="1:24" ht="24" thickBot="1" x14ac:dyDescent="0.35">
      <c r="A1" s="193" t="s">
        <v>107</v>
      </c>
      <c r="B1" s="193"/>
      <c r="C1" s="193"/>
      <c r="D1" s="193"/>
      <c r="E1" s="193"/>
      <c r="F1" s="193"/>
      <c r="K1" s="34"/>
      <c r="M1" s="78"/>
      <c r="N1" s="191" t="s">
        <v>86</v>
      </c>
      <c r="O1" s="191"/>
      <c r="P1" s="191"/>
      <c r="Q1" s="191"/>
      <c r="R1" s="191"/>
      <c r="S1" s="191"/>
      <c r="T1" s="191"/>
      <c r="U1" s="191"/>
      <c r="V1" s="192"/>
      <c r="W1" s="87"/>
      <c r="X1" s="87"/>
    </row>
    <row r="2" spans="1:24" ht="16.2" thickBot="1" x14ac:dyDescent="0.35">
      <c r="M2" s="78"/>
      <c r="N2" s="187" t="s">
        <v>12</v>
      </c>
      <c r="O2" s="188"/>
      <c r="P2" s="188"/>
      <c r="Q2" s="188"/>
      <c r="R2" s="188"/>
      <c r="S2" s="188"/>
      <c r="T2" s="188"/>
      <c r="U2" s="189"/>
      <c r="V2" s="82"/>
      <c r="W2" s="82"/>
      <c r="X2" s="82"/>
    </row>
    <row r="3" spans="1:24" ht="26.4" x14ac:dyDescent="0.3">
      <c r="A3" s="195" t="s">
        <v>89</v>
      </c>
      <c r="B3" s="195"/>
      <c r="C3" s="195"/>
      <c r="D3" s="195"/>
      <c r="E3" s="39"/>
      <c r="F3" s="39"/>
      <c r="G3" s="39"/>
      <c r="M3" s="84" t="s">
        <v>11</v>
      </c>
      <c r="N3" s="69" t="s">
        <v>67</v>
      </c>
      <c r="O3" s="69" t="s">
        <v>45</v>
      </c>
      <c r="P3" s="69" t="s">
        <v>62</v>
      </c>
      <c r="Q3" s="69" t="s">
        <v>6</v>
      </c>
      <c r="R3" s="69" t="s">
        <v>102</v>
      </c>
      <c r="S3" s="69" t="s">
        <v>103</v>
      </c>
      <c r="T3" s="69" t="s">
        <v>104</v>
      </c>
      <c r="U3" s="69" t="s">
        <v>10</v>
      </c>
      <c r="V3" s="85" t="s">
        <v>15</v>
      </c>
      <c r="W3" s="37"/>
      <c r="X3" s="38"/>
    </row>
    <row r="4" spans="1:24" ht="26.4" x14ac:dyDescent="0.3">
      <c r="A4" s="194" t="s">
        <v>146</v>
      </c>
      <c r="B4" s="194"/>
      <c r="C4" s="194"/>
      <c r="D4" s="194"/>
      <c r="E4" s="41"/>
      <c r="F4" s="41"/>
      <c r="G4" s="41"/>
      <c r="M4" s="88" t="s">
        <v>129</v>
      </c>
      <c r="N4" s="146">
        <v>0</v>
      </c>
      <c r="O4" s="146">
        <v>0</v>
      </c>
      <c r="P4" s="146">
        <v>0</v>
      </c>
      <c r="Q4" s="137">
        <v>0</v>
      </c>
      <c r="R4" s="137">
        <v>733999.85</v>
      </c>
      <c r="S4" s="137">
        <v>0</v>
      </c>
      <c r="T4" s="137">
        <v>347619.84000000003</v>
      </c>
      <c r="U4" s="137">
        <f t="shared" ref="U4:U10" si="0">SUM(N4:T4)</f>
        <v>1081619.69</v>
      </c>
      <c r="V4" s="147">
        <v>-0.46</v>
      </c>
      <c r="W4" s="37"/>
      <c r="X4" s="38"/>
    </row>
    <row r="5" spans="1:24" ht="26.4" x14ac:dyDescent="0.3">
      <c r="A5" s="70"/>
      <c r="B5" s="70"/>
      <c r="C5" s="70"/>
      <c r="D5" s="70"/>
      <c r="E5" s="71"/>
      <c r="F5" s="71"/>
      <c r="G5" s="71"/>
      <c r="J5" s="79"/>
      <c r="M5" s="88" t="s">
        <v>123</v>
      </c>
      <c r="N5" s="146">
        <v>0</v>
      </c>
      <c r="O5" s="137">
        <v>0</v>
      </c>
      <c r="P5" s="146">
        <v>0</v>
      </c>
      <c r="Q5" s="137">
        <v>0</v>
      </c>
      <c r="R5" s="137">
        <v>73580</v>
      </c>
      <c r="S5" s="137">
        <v>0</v>
      </c>
      <c r="T5" s="137">
        <v>0</v>
      </c>
      <c r="U5" s="137">
        <f t="shared" si="0"/>
        <v>73580</v>
      </c>
      <c r="V5" s="147">
        <v>0</v>
      </c>
      <c r="W5" s="37"/>
      <c r="X5" s="38"/>
    </row>
    <row r="6" spans="1:24" ht="26.4" x14ac:dyDescent="0.3">
      <c r="A6" s="199" t="s">
        <v>122</v>
      </c>
      <c r="B6" s="199"/>
      <c r="C6" s="68">
        <v>42643</v>
      </c>
      <c r="J6" s="79"/>
      <c r="M6" s="89" t="s">
        <v>128</v>
      </c>
      <c r="N6" s="137">
        <v>1061810.672</v>
      </c>
      <c r="O6" s="137">
        <v>964406.55596999999</v>
      </c>
      <c r="P6" s="137">
        <f>Notes!D13</f>
        <v>350000</v>
      </c>
      <c r="Q6" s="137">
        <f>3304738+2112865</f>
        <v>5417603</v>
      </c>
      <c r="R6" s="137">
        <v>12443281.765025754</v>
      </c>
      <c r="S6" s="137">
        <f>72404+98801</f>
        <v>171205</v>
      </c>
      <c r="T6" s="137">
        <v>991353</v>
      </c>
      <c r="U6" s="137">
        <f t="shared" si="0"/>
        <v>21399659.992995754</v>
      </c>
      <c r="V6" s="148">
        <f>ROUND(+Table1[[#This Row],[Total]]*0.949331239483705,0)</f>
        <v>20315366</v>
      </c>
      <c r="W6" s="42" t="s">
        <v>69</v>
      </c>
      <c r="X6" s="38"/>
    </row>
    <row r="7" spans="1:24" x14ac:dyDescent="0.3">
      <c r="M7" s="89" t="s">
        <v>77</v>
      </c>
      <c r="N7" s="137">
        <f>SUMIFS(Table_Query_from_MS_Access_Database[[#All],[HSIP]],Table_Query_from_MS_Access_Database[[#All],[Transaction Year]],"2016",Table_Query_from_MS_Access_Database[[#All],[Transaction Type]],"loan in")</f>
        <v>0</v>
      </c>
      <c r="O7" s="137">
        <f>SUMIFS(Table_Query_from_MS_Access_Database[[#All],[PL]],Table_Query_from_MS_Access_Database[[#All],[Transaction Year]],"2016",Table_Query_from_MS_Access_Database[[#All],[Transaction Type]],"loan in")</f>
        <v>0</v>
      </c>
      <c r="P7" s="137">
        <f>SUMIFS(Table_Query_from_MS_Access_Database[[#All],[SPR]],Table_Query_from_MS_Access_Database[[#All],[Transaction Year]],"2016",Table_Query_from_MS_Access_Database[[#All],[Transaction Type]],"loan in")</f>
        <v>0</v>
      </c>
      <c r="Q7" s="137">
        <f>SUMIFS(Table_Query_from_MS_Access_Database[[#All],[STP other]],Table_Query_from_MS_Access_Database[[#All],[Transaction Year]],"2016",Table_Query_from_MS_Access_Database[[#All],[Transaction Type]],"loan in")</f>
        <v>0</v>
      </c>
      <c r="R7" s="137">
        <f>SUMIFS(Table_Query_from_MS_Access_Database[[#All],[STP over 200K]],Table_Query_from_MS_Access_Database[[#All],[Transaction Year]],"2016",Table_Query_from_MS_Access_Database[[#All],[Transaction Type]],"loan in")</f>
        <v>0</v>
      </c>
      <c r="S7" s="137">
        <f>SUMIFS(Table_Query_from_MS_Access_Database[[#All],[TA other]],Table_Query_from_MS_Access_Database[[#All],[Transaction Year]],"2016",Table_Query_from_MS_Access_Database[[#All],[Transaction Type]],"loan in")</f>
        <v>0</v>
      </c>
      <c r="T7" s="137">
        <f>SUMIFS(Table_Query_from_MS_Access_Database[[#All],[TA over 200K]],Table_Query_from_MS_Access_Database[[#All],[Transaction Year]],"2016",Table_Query_from_MS_Access_Database[[#All],[Transaction Type]],"loan in")</f>
        <v>0</v>
      </c>
      <c r="U7" s="137">
        <f t="shared" si="0"/>
        <v>0</v>
      </c>
      <c r="V7" s="148">
        <f>SUMIFS(Table_Query_from_MS_Access_Database_16[[#All],[Total]],Table_Query_from_MS_Access_Database_16[[#All],[Transaction Year]],"2016",Table_Query_from_MS_Access_Database_16[[#All],[Transaction Type]],"Loan In")</f>
        <v>0</v>
      </c>
      <c r="W7" s="37"/>
      <c r="X7" s="38"/>
    </row>
    <row r="8" spans="1:24" x14ac:dyDescent="0.3">
      <c r="A8" s="44"/>
      <c r="M8" s="89" t="s">
        <v>78</v>
      </c>
      <c r="N8" s="137">
        <f>SUMIFS(Table_Query_from_MS_Access_Database[[#All],[HSIP]],Table_Query_from_MS_Access_Database[[#All],[Transaction Year]],"2016",Table_Query_from_MS_Access_Database[[#All],[Transaction Type]],"loan Out")</f>
        <v>0</v>
      </c>
      <c r="O8" s="137">
        <f>SUMIFS(Table_Query_from_MS_Access_Database[[#All],[PL]],Table_Query_from_MS_Access_Database[[#All],[Transaction Year]],"2016",Table_Query_from_MS_Access_Database[[#All],[Transaction Type]],"loan Out")</f>
        <v>0</v>
      </c>
      <c r="P8" s="137">
        <f>SUMIFS(Table_Query_from_MS_Access_Database[[#All],[SPR]],Table_Query_from_MS_Access_Database[[#All],[Transaction Year]],"2016",Table_Query_from_MS_Access_Database[[#All],[Transaction Type]],"loan Out")</f>
        <v>0</v>
      </c>
      <c r="Q8" s="137">
        <f>SUMIFS(Table_Query_from_MS_Access_Database[[#All],[STP other]],Table_Query_from_MS_Access_Database[[#All],[Transaction Year]],"2016",Table_Query_from_MS_Access_Database[[#All],[Transaction Type]],"loan Out")</f>
        <v>-2850000</v>
      </c>
      <c r="R8" s="137">
        <f>SUMIFS(Table_Query_from_MS_Access_Database[[#All],[STP over 200K]],Table_Query_from_MS_Access_Database[[#All],[Transaction Year]],"2016",Table_Query_from_MS_Access_Database[[#All],[Transaction Type]],"loan Out")</f>
        <v>0</v>
      </c>
      <c r="S8" s="137">
        <f>SUMIFS(Table_Query_from_MS_Access_Database[[#All],[TA other]],Table_Query_from_MS_Access_Database[[#All],[Transaction Year]],"2016",Table_Query_from_MS_Access_Database[[#All],[Transaction Type]],"loan Out")</f>
        <v>0</v>
      </c>
      <c r="T8" s="137">
        <f>SUMIFS(Table_Query_from_MS_Access_Database[[#All],[TA over 200K]],Table_Query_from_MS_Access_Database[[#All],[Transaction Year]],"2016",Table_Query_from_MS_Access_Database[[#All],[Transaction Type]],"loan Out")</f>
        <v>0</v>
      </c>
      <c r="U8" s="137">
        <f t="shared" si="0"/>
        <v>-2850000</v>
      </c>
      <c r="V8" s="148">
        <f>SUMIFS(Table_Query_from_MS_Access_Database_16[[#All],[Total]],Table_Query_from_MS_Access_Database_16[[#All],[Transaction Year]],"2016",Table_Query_from_MS_Access_Database_16[[#All],[Transaction Type]],"Loan Out")</f>
        <v>-2850000</v>
      </c>
      <c r="W8" s="37"/>
      <c r="X8" s="38"/>
    </row>
    <row r="9" spans="1:24" x14ac:dyDescent="0.3">
      <c r="M9" s="88" t="s">
        <v>79</v>
      </c>
      <c r="N9" s="137">
        <f>SUMIFS(Table_Query_from_MS_Access_Database[[#All],[HSIP]],Table_Query_from_MS_Access_Database[[#All],[Transaction Year]],"2016",Table_Query_from_MS_Access_Database[[#All],[Transaction Type]],"repayment in")</f>
        <v>0</v>
      </c>
      <c r="O9" s="137">
        <f>SUMIFS(Table_Query_from_MS_Access_Database[[#All],[PL]],Table_Query_from_MS_Access_Database[[#All],[Transaction Year]],"2016",Table_Query_from_MS_Access_Database[[#All],[Transaction Type]],"repayment in")</f>
        <v>0</v>
      </c>
      <c r="P9" s="137">
        <f>SUMIFS(Table_Query_from_MS_Access_Database[[#All],[SPR]],Table_Query_from_MS_Access_Database[[#All],[Transaction Year]],"2016",Table_Query_from_MS_Access_Database[[#All],[Transaction Type]],"repayment in")</f>
        <v>0</v>
      </c>
      <c r="Q9" s="137">
        <f>SUMIFS(Table_Query_from_MS_Access_Database[[#All],[STP other]],Table_Query_from_MS_Access_Database[[#All],[Transaction Year]],"2016",Table_Query_from_MS_Access_Database[[#All],[Transaction Type]],"repayment in")</f>
        <v>0</v>
      </c>
      <c r="R9" s="137">
        <f>SUMIFS(Table_Query_from_MS_Access_Database[[#All],[STP over 200K]],Table_Query_from_MS_Access_Database[[#All],[Transaction Year]],"2016",Table_Query_from_MS_Access_Database[[#All],[Transaction Type]],"repayment in")</f>
        <v>0</v>
      </c>
      <c r="S9" s="137">
        <f>SUMIFS(Table_Query_from_MS_Access_Database[[#All],[TA other]],Table_Query_from_MS_Access_Database[[#All],[Transaction Year]],"2016",Table_Query_from_MS_Access_Database[[#All],[Transaction Type]],"repayment in")</f>
        <v>0</v>
      </c>
      <c r="T9" s="137">
        <f>SUMIFS(Table_Query_from_MS_Access_Database[[#All],[TA over 200K]],Table_Query_from_MS_Access_Database[[#All],[Transaction Year]],"2016",Table_Query_from_MS_Access_Database[[#All],[Transaction Type]],"repayment in")</f>
        <v>0</v>
      </c>
      <c r="U9" s="137">
        <f t="shared" si="0"/>
        <v>0</v>
      </c>
      <c r="V9" s="148">
        <f>SUMIFS(Table_Query_from_MS_Access_Database_16[[#All],[Total]],Table_Query_from_MS_Access_Database_16[[#All],[Transaction Year]],"2016",Table_Query_from_MS_Access_Database_16[[#All],[Transaction Type]],"repayment In")</f>
        <v>0</v>
      </c>
      <c r="W9" s="37"/>
      <c r="X9" s="38"/>
    </row>
    <row r="10" spans="1:24" x14ac:dyDescent="0.3">
      <c r="A10" s="194" t="s">
        <v>95</v>
      </c>
      <c r="B10" s="194"/>
      <c r="C10" s="194"/>
      <c r="D10" s="194"/>
      <c r="E10" s="194"/>
      <c r="F10" s="194"/>
      <c r="G10" s="194"/>
      <c r="H10" s="194"/>
      <c r="I10" s="194"/>
      <c r="J10" s="194"/>
      <c r="K10" s="194"/>
      <c r="L10" s="194"/>
      <c r="M10" s="89" t="s">
        <v>80</v>
      </c>
      <c r="N10" s="137">
        <f>SUMIFS(Table_Query_from_MS_Access_Database[[#All],[HSIP]],Table_Query_from_MS_Access_Database[[#All],[Transaction Year]],"2016",Table_Query_from_MS_Access_Database[[#All],[Transaction Type]],"repayment Out")</f>
        <v>0</v>
      </c>
      <c r="O10" s="137">
        <f>SUMIFS(Table_Query_from_MS_Access_Database[[#All],[PL]],Table_Query_from_MS_Access_Database[[#All],[Transaction Year]],"2016",Table_Query_from_MS_Access_Database[[#All],[Transaction Type]],"repayment Out")</f>
        <v>0</v>
      </c>
      <c r="P10" s="137">
        <f>SUMIFS(Table_Query_from_MS_Access_Database[[#All],[SPR]],Table_Query_from_MS_Access_Database[[#All],[Transaction Year]],"2016",Table_Query_from_MS_Access_Database[[#All],[Transaction Type]],"repayment Out")</f>
        <v>0</v>
      </c>
      <c r="Q10" s="137">
        <f>SUMIFS(Table_Query_from_MS_Access_Database[[#All],[STP other]],Table_Query_from_MS_Access_Database[[#All],[Transaction Year]],"2016",Table_Query_from_MS_Access_Database[[#All],[Transaction Type]],"repayment Out")</f>
        <v>0</v>
      </c>
      <c r="R10" s="137">
        <f>SUMIFS(Table_Query_from_MS_Access_Database[[#All],[STP over 200K]],Table_Query_from_MS_Access_Database[[#All],[Transaction Year]],"2016",Table_Query_from_MS_Access_Database[[#All],[Transaction Type]],"repayment Out")</f>
        <v>0</v>
      </c>
      <c r="S10" s="137">
        <f>SUMIFS(Table_Query_from_MS_Access_Database[[#All],[TA other]],Table_Query_from_MS_Access_Database[[#All],[Transaction Year]],"2016",Table_Query_from_MS_Access_Database[[#All],[Transaction Type]],"repayment Out")</f>
        <v>0</v>
      </c>
      <c r="T10" s="137">
        <f>SUMIFS(Table_Query_from_MS_Access_Database[[#All],[TA over 200K]],Table_Query_from_MS_Access_Database[[#All],[Transaction Year]],"2016",Table_Query_from_MS_Access_Database[[#All],[Transaction Type]],"repayment Out")</f>
        <v>0</v>
      </c>
      <c r="U10" s="137">
        <f t="shared" si="0"/>
        <v>0</v>
      </c>
      <c r="V10" s="148">
        <f>SUMIFS(Table_Query_from_MS_Access_Database_16[[#All],[Total]],Table_Query_from_MS_Access_Database_16[[#All],[Transaction Year]],"2016",Table_Query_from_MS_Access_Database_16[[#All],[Transaction Type]],"Repayment Out")</f>
        <v>0</v>
      </c>
      <c r="W10" s="37"/>
      <c r="X10" s="38"/>
    </row>
    <row r="11" spans="1:24" x14ac:dyDescent="0.3">
      <c r="M11" s="89" t="s">
        <v>81</v>
      </c>
      <c r="N11" s="137">
        <f>SUMIFS(Table_Query_from_MS_Access_Database[[#All],[HSIP]],Table_Query_from_MS_Access_Database[[#All],[Transaction Year]],"2016",Table_Query_from_MS_Access_Database[[#All],[Transaction Type]],"Transfer in")</f>
        <v>0</v>
      </c>
      <c r="O11" s="137">
        <f>SUMIFS(Table_Query_from_MS_Access_Database[[#All],[PL]],Table_Query_from_MS_Access_Database[[#All],[Transaction Year]],"2016",Table_Query_from_MS_Access_Database[[#All],[Transaction Type]],"Transfer in")</f>
        <v>0</v>
      </c>
      <c r="P11" s="137">
        <f>SUMIFS(Table_Query_from_MS_Access_Database[[#All],[SPR]],Table_Query_from_MS_Access_Database[[#All],[Transaction Year]],"2016",Table_Query_from_MS_Access_Database[[#All],[Transaction Type]],"Transfer in")</f>
        <v>0</v>
      </c>
      <c r="Q11" s="137">
        <f>SUMIFS(Table_Query_from_MS_Access_Database[[#All],[STP other]],Table_Query_from_MS_Access_Database[[#All],[Transaction Year]],"2016",Table_Query_from_MS_Access_Database[[#All],[Transaction Type]],"Transfer in")</f>
        <v>0</v>
      </c>
      <c r="R11" s="137">
        <f>SUMIFS(Table_Query_from_MS_Access_Database[[#All],[STP over 200K]],Table_Query_from_MS_Access_Database[[#All],[Transaction Year]],"2016",Table_Query_from_MS_Access_Database[[#All],[Transaction Type]],"Transfer in")</f>
        <v>0</v>
      </c>
      <c r="S11" s="137">
        <f>SUMIFS(Table_Query_from_MS_Access_Database[[#All],[TA other]],Table_Query_from_MS_Access_Database[[#All],[Transaction Year]],"2016",Table_Query_from_MS_Access_Database[[#All],[Transaction Type]],"Transfer in")</f>
        <v>0</v>
      </c>
      <c r="T11" s="137">
        <f>SUMIFS(Table_Query_from_MS_Access_Database[[#All],[TA over 200K]],Table_Query_from_MS_Access_Database[[#All],[Transaction Year]],"2016",Table_Query_from_MS_Access_Database[[#All],[Transaction Type]],"Transfer in")</f>
        <v>0</v>
      </c>
      <c r="U11" s="137">
        <f>SUM(N11:T11)</f>
        <v>0</v>
      </c>
      <c r="V11" s="148">
        <f>SUMIFS(Table_Query_from_MS_Access_Database_16[[#All],[Total]],Table_Query_from_MS_Access_Database_16[[#All],[Transaction Year]],"2016",Table_Query_from_MS_Access_Database_16[[#All],[Transaction Type]],"Transfer In")</f>
        <v>0</v>
      </c>
      <c r="W11" s="33"/>
      <c r="X11" s="38"/>
    </row>
    <row r="12" spans="1:24" ht="16.2" thickBot="1" x14ac:dyDescent="0.35">
      <c r="F12" s="45"/>
      <c r="G12" s="45"/>
      <c r="M12" s="89" t="s">
        <v>82</v>
      </c>
      <c r="N12" s="137">
        <f>SUMIFS(Table_Query_from_MS_Access_Database[[#All],[HSIP]],Table_Query_from_MS_Access_Database[[#All],[Transaction Year]],"2016",Table_Query_from_MS_Access_Database[[#All],[Transaction Type]],"Transfer Out")</f>
        <v>0</v>
      </c>
      <c r="O12" s="137">
        <f>SUMIFS(Table_Query_from_MS_Access_Database[[#All],[PL]],Table_Query_from_MS_Access_Database[[#All],[Transaction Year]],"2016",Table_Query_from_MS_Access_Database[[#All],[Transaction Type]],"Transfer Out")</f>
        <v>0</v>
      </c>
      <c r="P12" s="137">
        <f>SUMIFS(Table_Query_from_MS_Access_Database[[#All],[SPR]],Table_Query_from_MS_Access_Database[[#All],[Transaction Year]],"2016",Table_Query_from_MS_Access_Database[[#All],[Transaction Type]],"Transfer Out")</f>
        <v>0</v>
      </c>
      <c r="Q12" s="137">
        <f>SUMIFS(Table_Query_from_MS_Access_Database[[#All],[STP other]],Table_Query_from_MS_Access_Database[[#All],[Transaction Year]],"2016",Table_Query_from_MS_Access_Database[[#All],[Transaction Type]],"Transfer Out")</f>
        <v>0</v>
      </c>
      <c r="R12" s="137">
        <f>SUMIFS(Table_Query_from_MS_Access_Database[[#All],[STP over 200K]],Table_Query_from_MS_Access_Database[[#All],[Transaction Year]],"2016",Table_Query_from_MS_Access_Database[[#All],[Transaction Type]],"Transfer Out")</f>
        <v>0</v>
      </c>
      <c r="S12" s="137">
        <f>SUMIFS(Table_Query_from_MS_Access_Database[[#All],[TA other]],Table_Query_from_MS_Access_Database[[#All],[Transaction Year]],"2016",Table_Query_from_MS_Access_Database[[#All],[Transaction Type]],"Transfer Out")</f>
        <v>0</v>
      </c>
      <c r="T12" s="137">
        <f>SUMIFS(Table_Query_from_MS_Access_Database[[#All],[TA over 200K]],Table_Query_from_MS_Access_Database[[#All],[Transaction Year]],"2016",Table_Query_from_MS_Access_Database[[#All],[Transaction Type]],"Transfer Out")</f>
        <v>0</v>
      </c>
      <c r="U12" s="137">
        <f>SUM(N12:T12)</f>
        <v>0</v>
      </c>
      <c r="V12" s="148">
        <f>SUMIFS(Table_Query_from_MS_Access_Database_16[[#All],[Total]],Table_Query_from_MS_Access_Database_16[[#All],[Transaction Year]],"2016",Table_Query_from_MS_Access_Database_16[[#All],[Transaction Type]],"Transfer Out")</f>
        <v>0</v>
      </c>
      <c r="W12" s="43"/>
      <c r="X12" s="38"/>
    </row>
    <row r="13" spans="1:24" ht="27" thickBot="1" x14ac:dyDescent="0.35">
      <c r="M13" s="90" t="s">
        <v>96</v>
      </c>
      <c r="N13" s="149">
        <f t="shared" ref="N13:V13" si="1">SUM(N4:N12)</f>
        <v>1061810.672</v>
      </c>
      <c r="O13" s="149">
        <f t="shared" si="1"/>
        <v>964406.55596999999</v>
      </c>
      <c r="P13" s="149">
        <f t="shared" si="1"/>
        <v>350000</v>
      </c>
      <c r="Q13" s="149">
        <f t="shared" si="1"/>
        <v>2567603</v>
      </c>
      <c r="R13" s="149">
        <f t="shared" si="1"/>
        <v>13250861.615025753</v>
      </c>
      <c r="S13" s="149">
        <f t="shared" si="1"/>
        <v>171205</v>
      </c>
      <c r="T13" s="149">
        <f t="shared" si="1"/>
        <v>1338972.8400000001</v>
      </c>
      <c r="U13" s="149">
        <f t="shared" si="1"/>
        <v>19704859.682995755</v>
      </c>
      <c r="V13" s="150">
        <f t="shared" si="1"/>
        <v>17465365.539999999</v>
      </c>
      <c r="W13" s="43"/>
      <c r="X13" s="38"/>
    </row>
    <row r="14" spans="1:24" x14ac:dyDescent="0.3">
      <c r="N14" s="46"/>
      <c r="O14" s="47"/>
      <c r="P14" s="47"/>
      <c r="Q14" s="47"/>
      <c r="R14" s="47"/>
      <c r="S14" s="47"/>
      <c r="T14" s="43"/>
      <c r="V14" s="80"/>
      <c r="X14" s="36"/>
    </row>
    <row r="15" spans="1:24" ht="16.8" x14ac:dyDescent="0.3">
      <c r="A15" s="186" t="s">
        <v>68</v>
      </c>
      <c r="B15" s="186"/>
      <c r="C15" s="186"/>
      <c r="D15" s="186"/>
      <c r="J15" s="196" t="s">
        <v>70</v>
      </c>
      <c r="K15" s="197"/>
      <c r="L15" s="197"/>
      <c r="M15" s="198"/>
      <c r="N15" s="48"/>
      <c r="R15" s="49"/>
      <c r="S15" s="49"/>
      <c r="T15" s="49"/>
      <c r="U15" s="49"/>
      <c r="V15" s="80"/>
      <c r="W15" s="81"/>
      <c r="X15" s="36"/>
    </row>
    <row r="16" spans="1:24" s="52" customFormat="1" ht="30" x14ac:dyDescent="0.3">
      <c r="A16" s="92" t="s">
        <v>1</v>
      </c>
      <c r="B16" s="92" t="s">
        <v>0</v>
      </c>
      <c r="C16" s="92" t="s">
        <v>3</v>
      </c>
      <c r="D16" s="93" t="s">
        <v>92</v>
      </c>
      <c r="E16" s="93" t="s">
        <v>2</v>
      </c>
      <c r="F16" s="93" t="s">
        <v>52</v>
      </c>
      <c r="G16" s="93" t="s">
        <v>53</v>
      </c>
      <c r="H16" s="93" t="s">
        <v>54</v>
      </c>
      <c r="I16" s="93" t="s">
        <v>60</v>
      </c>
      <c r="J16" s="93" t="s">
        <v>55</v>
      </c>
      <c r="K16" s="93" t="s">
        <v>56</v>
      </c>
      <c r="L16" s="93" t="s">
        <v>57</v>
      </c>
      <c r="M16" s="93" t="s">
        <v>58</v>
      </c>
      <c r="N16" s="93" t="s">
        <v>4</v>
      </c>
      <c r="O16" s="93" t="s">
        <v>45</v>
      </c>
      <c r="P16" s="93" t="s">
        <v>5</v>
      </c>
      <c r="Q16" s="93" t="s">
        <v>59</v>
      </c>
      <c r="R16" s="93" t="s">
        <v>102</v>
      </c>
      <c r="S16" s="93" t="s">
        <v>103</v>
      </c>
      <c r="T16" s="93" t="s">
        <v>104</v>
      </c>
      <c r="U16" s="93" t="s">
        <v>94</v>
      </c>
      <c r="V16" s="94" t="s">
        <v>101</v>
      </c>
      <c r="W16" s="57"/>
      <c r="X16" s="57"/>
    </row>
    <row r="17" spans="1:24" s="54" customFormat="1" ht="13.2" x14ac:dyDescent="0.3">
      <c r="A17" s="130" t="s">
        <v>192</v>
      </c>
      <c r="B17" s="130" t="s">
        <v>193</v>
      </c>
      <c r="C17" s="130" t="s">
        <v>126</v>
      </c>
      <c r="D17" s="131" t="s">
        <v>9</v>
      </c>
      <c r="E17" s="131" t="s">
        <v>194</v>
      </c>
      <c r="F17" s="130" t="s">
        <v>127</v>
      </c>
      <c r="G17" s="130" t="s">
        <v>124</v>
      </c>
      <c r="H17" s="130" t="s">
        <v>195</v>
      </c>
      <c r="I17" s="130" t="str">
        <f>CONCATENATE(Table_Query_from_MS_Access_Database4[[#This Row],[RTE]],Table_Query_from_MS_Access_Database4[[#This Row],[SEC]],Table_Query_from_MS_Access_Database4[[#This Row],[SEQ]])</f>
        <v>PPM0223</v>
      </c>
      <c r="J17" s="132"/>
      <c r="K17" s="96">
        <v>42324</v>
      </c>
      <c r="L17" s="96">
        <v>42324</v>
      </c>
      <c r="M17" s="96">
        <v>42325</v>
      </c>
      <c r="N17" s="145">
        <v>-38529.03</v>
      </c>
      <c r="O17" s="145"/>
      <c r="P17" s="145"/>
      <c r="Q17" s="145"/>
      <c r="R17" s="145"/>
      <c r="S17" s="145"/>
      <c r="T17" s="145"/>
      <c r="U17" s="145">
        <f>+SUM(Table_Query_from_MS_Access_Database4[[#This Row],[HSIP]:[TA OVER 200K]])</f>
        <v>-38529.03</v>
      </c>
      <c r="V17" s="158">
        <f>V13-Table_Query_from_MS_Access_Database4[TOTAL OF AMOUNT]</f>
        <v>17503894.57</v>
      </c>
      <c r="W17" s="138"/>
      <c r="X17" s="138"/>
    </row>
    <row r="18" spans="1:24" s="54" customFormat="1" ht="13.2" x14ac:dyDescent="0.3">
      <c r="A18" s="130" t="s">
        <v>189</v>
      </c>
      <c r="B18" s="130" t="s">
        <v>201</v>
      </c>
      <c r="C18" s="130" t="s">
        <v>140</v>
      </c>
      <c r="D18" s="131" t="s">
        <v>9</v>
      </c>
      <c r="E18" s="131" t="s">
        <v>190</v>
      </c>
      <c r="F18" s="130" t="s">
        <v>125</v>
      </c>
      <c r="G18" s="130" t="s">
        <v>124</v>
      </c>
      <c r="H18" s="130" t="s">
        <v>191</v>
      </c>
      <c r="I18" s="130" t="str">
        <f>CONCATENATE(Table_Query_from_MS_Access_Database4[[#This Row],[RTE]],Table_Query_from_MS_Access_Database4[[#This Row],[SEC]],Table_Query_from_MS_Access_Database4[[#This Row],[SEQ]])</f>
        <v>TUC0213</v>
      </c>
      <c r="J18" s="132"/>
      <c r="K18" s="96">
        <v>42324</v>
      </c>
      <c r="L18" s="96">
        <v>42324</v>
      </c>
      <c r="M18" s="96">
        <v>42325</v>
      </c>
      <c r="N18" s="145"/>
      <c r="O18" s="145"/>
      <c r="P18" s="145"/>
      <c r="Q18" s="145">
        <v>-17909.97</v>
      </c>
      <c r="R18" s="145"/>
      <c r="S18" s="145"/>
      <c r="T18" s="145"/>
      <c r="U18" s="145">
        <f>+SUM(Table_Query_from_MS_Access_Database4[[#This Row],[HSIP]:[TA OVER 200K]])</f>
        <v>-17909.97</v>
      </c>
      <c r="V18" s="158">
        <f>V17-Table_Query_from_MS_Access_Database4[TOTAL OF AMOUNT]</f>
        <v>17521804.539999999</v>
      </c>
      <c r="W18" s="138"/>
      <c r="X18" s="138"/>
    </row>
    <row r="19" spans="1:24" s="54" customFormat="1" ht="13.2" x14ac:dyDescent="0.3">
      <c r="A19" s="176" t="s">
        <v>207</v>
      </c>
      <c r="B19" s="176" t="s">
        <v>208</v>
      </c>
      <c r="C19" s="176" t="s">
        <v>140</v>
      </c>
      <c r="D19" s="177" t="s">
        <v>9</v>
      </c>
      <c r="E19" s="177" t="s">
        <v>209</v>
      </c>
      <c r="F19" s="176" t="s">
        <v>125</v>
      </c>
      <c r="G19" s="176" t="s">
        <v>124</v>
      </c>
      <c r="H19" s="176" t="s">
        <v>179</v>
      </c>
      <c r="I19" s="176" t="str">
        <f>CONCATENATE(Table_Query_from_MS_Access_Database4[[#This Row],[RTE]],Table_Query_from_MS_Access_Database4[[#This Row],[SEC]],Table_Query_from_MS_Access_Database4[[#This Row],[SEQ]])</f>
        <v>TUC0243</v>
      </c>
      <c r="J19" s="178"/>
      <c r="K19" s="179">
        <v>42338</v>
      </c>
      <c r="L19" s="179">
        <v>42338</v>
      </c>
      <c r="M19" s="179">
        <v>42339</v>
      </c>
      <c r="N19" s="180">
        <v>-222451.3</v>
      </c>
      <c r="O19" s="180"/>
      <c r="P19" s="180"/>
      <c r="Q19" s="180"/>
      <c r="R19" s="180"/>
      <c r="S19" s="180"/>
      <c r="T19" s="180"/>
      <c r="U19" s="180">
        <f>+SUM(Table_Query_from_MS_Access_Database4[[#This Row],[HSIP]:[TA OVER 200K]])</f>
        <v>-222451.3</v>
      </c>
      <c r="V19" s="158">
        <f>V18-Table_Query_from_MS_Access_Database4[TOTAL OF AMOUNT]</f>
        <v>17744255.84</v>
      </c>
      <c r="W19" s="138"/>
      <c r="X19" s="138"/>
    </row>
    <row r="20" spans="1:24" s="54" customFormat="1" ht="13.2" x14ac:dyDescent="0.3">
      <c r="A20" s="176" t="s">
        <v>196</v>
      </c>
      <c r="B20" s="176" t="s">
        <v>210</v>
      </c>
      <c r="C20" s="176" t="s">
        <v>140</v>
      </c>
      <c r="D20" s="177" t="s">
        <v>7</v>
      </c>
      <c r="E20" s="177" t="s">
        <v>197</v>
      </c>
      <c r="F20" s="176" t="s">
        <v>125</v>
      </c>
      <c r="G20" s="176" t="s">
        <v>124</v>
      </c>
      <c r="H20" s="176" t="s">
        <v>198</v>
      </c>
      <c r="I20" s="176" t="str">
        <f>CONCATENATE(Table_Query_from_MS_Access_Database4[[#This Row],[RTE]],Table_Query_from_MS_Access_Database4[[#This Row],[SEC]],Table_Query_from_MS_Access_Database4[[#This Row],[SEQ]])</f>
        <v>TUC0218</v>
      </c>
      <c r="J20" s="178">
        <v>42339</v>
      </c>
      <c r="K20" s="179">
        <v>42352</v>
      </c>
      <c r="L20" s="179">
        <v>42355</v>
      </c>
      <c r="M20" s="179">
        <v>42356</v>
      </c>
      <c r="N20" s="180"/>
      <c r="O20" s="180"/>
      <c r="P20" s="180"/>
      <c r="Q20" s="180"/>
      <c r="R20" s="180">
        <v>60051</v>
      </c>
      <c r="S20" s="180"/>
      <c r="T20" s="180"/>
      <c r="U20" s="180">
        <f>+SUM(Table_Query_from_MS_Access_Database4[[#This Row],[HSIP]:[TA OVER 200K]])</f>
        <v>60051</v>
      </c>
      <c r="V20" s="158">
        <f>V19-Table_Query_from_MS_Access_Database4[TOTAL OF AMOUNT]</f>
        <v>17684204.84</v>
      </c>
      <c r="W20" s="138"/>
      <c r="X20" s="138"/>
    </row>
    <row r="21" spans="1:24" s="54" customFormat="1" ht="13.2" x14ac:dyDescent="0.3">
      <c r="A21" s="181" t="s">
        <v>169</v>
      </c>
      <c r="B21" s="181" t="s">
        <v>170</v>
      </c>
      <c r="C21" s="181" t="s">
        <v>140</v>
      </c>
      <c r="D21" s="182" t="s">
        <v>8</v>
      </c>
      <c r="E21" s="182" t="s">
        <v>171</v>
      </c>
      <c r="F21" s="181" t="s">
        <v>125</v>
      </c>
      <c r="G21" s="181" t="s">
        <v>124</v>
      </c>
      <c r="H21" s="181" t="s">
        <v>164</v>
      </c>
      <c r="I21" s="181" t="str">
        <f>CONCATENATE(Table_Query_from_MS_Access_Database4[[#This Row],[RTE]],Table_Query_from_MS_Access_Database4[[#This Row],[SEC]],Table_Query_from_MS_Access_Database4[[#This Row],[SEQ]])</f>
        <v>TUC0250</v>
      </c>
      <c r="J21" s="183"/>
      <c r="K21" s="184">
        <v>42320</v>
      </c>
      <c r="L21" s="184">
        <v>42360</v>
      </c>
      <c r="M21" s="184">
        <v>42381</v>
      </c>
      <c r="N21" s="185"/>
      <c r="O21" s="185"/>
      <c r="P21" s="185"/>
      <c r="Q21" s="185"/>
      <c r="R21" s="185">
        <v>575715</v>
      </c>
      <c r="S21" s="185"/>
      <c r="T21" s="185"/>
      <c r="U21" s="185">
        <f>+SUM(Table_Query_from_MS_Access_Database4[[#This Row],[HSIP]:[TA OVER 200K]])</f>
        <v>575715</v>
      </c>
      <c r="V21" s="158">
        <f>V20-Table_Query_from_MS_Access_Database4[TOTAL OF AMOUNT]</f>
        <v>17108489.84</v>
      </c>
      <c r="W21" s="138"/>
      <c r="X21" s="138"/>
    </row>
    <row r="22" spans="1:24" s="54" customFormat="1" ht="13.2" x14ac:dyDescent="0.3">
      <c r="A22" s="130" t="s">
        <v>211</v>
      </c>
      <c r="B22" s="130" t="s">
        <v>212</v>
      </c>
      <c r="C22" s="130" t="s">
        <v>110</v>
      </c>
      <c r="D22" s="131" t="s">
        <v>8</v>
      </c>
      <c r="E22" s="131" t="s">
        <v>213</v>
      </c>
      <c r="F22" s="130" t="s">
        <v>214</v>
      </c>
      <c r="G22" s="130" t="s">
        <v>215</v>
      </c>
      <c r="H22" s="130" t="s">
        <v>216</v>
      </c>
      <c r="I22" s="130" t="str">
        <f>CONCATENATE(Table_Query_from_MS_Access_Database4[[#This Row],[RTE]],Table_Query_from_MS_Access_Database4[[#This Row],[SEC]],Table_Query_from_MS_Access_Database4[[#This Row],[SEQ]])</f>
        <v>000B188</v>
      </c>
      <c r="J22" s="132"/>
      <c r="K22" s="96">
        <v>42384</v>
      </c>
      <c r="L22" s="96">
        <v>42384</v>
      </c>
      <c r="M22" s="96">
        <v>42390</v>
      </c>
      <c r="N22" s="145"/>
      <c r="O22" s="145">
        <v>915806</v>
      </c>
      <c r="P22" s="145"/>
      <c r="Q22" s="145"/>
      <c r="R22" s="145"/>
      <c r="S22" s="145"/>
      <c r="T22" s="145"/>
      <c r="U22" s="145">
        <f>+SUM(Table_Query_from_MS_Access_Database4[[#This Row],[HSIP]:[TA OVER 200K]])</f>
        <v>915806</v>
      </c>
      <c r="V22" s="158">
        <f>V21-Table_Query_from_MS_Access_Database4[TOTAL OF AMOUNT]</f>
        <v>16192683.84</v>
      </c>
      <c r="W22" s="138"/>
      <c r="X22" s="138"/>
    </row>
    <row r="23" spans="1:24" s="54" customFormat="1" ht="13.2" x14ac:dyDescent="0.3">
      <c r="A23" s="164" t="s">
        <v>218</v>
      </c>
      <c r="B23" s="164"/>
      <c r="C23" s="164" t="s">
        <v>110</v>
      </c>
      <c r="D23" s="165" t="s">
        <v>7</v>
      </c>
      <c r="E23" s="165" t="s">
        <v>219</v>
      </c>
      <c r="F23" s="164" t="s">
        <v>220</v>
      </c>
      <c r="G23" s="164" t="s">
        <v>176</v>
      </c>
      <c r="H23" s="164" t="s">
        <v>221</v>
      </c>
      <c r="I23" s="164" t="str">
        <f>CONCATENATE(Table_Query_from_MS_Access_Database4[[#This Row],[RTE]],Table_Query_from_MS_Access_Database4[[#This Row],[SEC]],Table_Query_from_MS_Access_Database4[[#This Row],[SEQ]])</f>
        <v>999A488</v>
      </c>
      <c r="J23" s="166"/>
      <c r="K23" s="167">
        <v>42382</v>
      </c>
      <c r="L23" s="167">
        <v>42391</v>
      </c>
      <c r="M23" s="167">
        <v>42397</v>
      </c>
      <c r="N23" s="168"/>
      <c r="O23" s="168"/>
      <c r="P23" s="168"/>
      <c r="Q23" s="168"/>
      <c r="R23" s="168">
        <v>524284</v>
      </c>
      <c r="S23" s="168"/>
      <c r="T23" s="168"/>
      <c r="U23" s="168">
        <f>+SUM(Table_Query_from_MS_Access_Database4[[#This Row],[HSIP]:[TA OVER 200K]])</f>
        <v>524284</v>
      </c>
      <c r="V23" s="158">
        <f>V22-Table_Query_from_MS_Access_Database4[TOTAL OF AMOUNT]</f>
        <v>15668399.84</v>
      </c>
      <c r="W23" s="138"/>
      <c r="X23" s="138"/>
    </row>
    <row r="24" spans="1:24" s="54" customFormat="1" ht="13.2" x14ac:dyDescent="0.3">
      <c r="A24" s="130" t="s">
        <v>222</v>
      </c>
      <c r="B24" s="130"/>
      <c r="C24" s="130" t="s">
        <v>110</v>
      </c>
      <c r="D24" s="131" t="s">
        <v>7</v>
      </c>
      <c r="E24" s="131" t="s">
        <v>219</v>
      </c>
      <c r="F24" s="130" t="s">
        <v>220</v>
      </c>
      <c r="G24" s="130" t="s">
        <v>176</v>
      </c>
      <c r="H24" s="130" t="s">
        <v>221</v>
      </c>
      <c r="I24" s="130" t="str">
        <f>CONCATENATE(Table_Query_from_MS_Access_Database4[[#This Row],[RTE]],Table_Query_from_MS_Access_Database4[[#This Row],[SEC]],Table_Query_from_MS_Access_Database4[[#This Row],[SEQ]])</f>
        <v>999A488</v>
      </c>
      <c r="J24" s="132"/>
      <c r="K24" s="96">
        <v>42382</v>
      </c>
      <c r="L24" s="96">
        <v>42391</v>
      </c>
      <c r="M24" s="96">
        <v>42397</v>
      </c>
      <c r="N24" s="145"/>
      <c r="O24" s="145"/>
      <c r="P24" s="145"/>
      <c r="Q24" s="145"/>
      <c r="R24" s="145">
        <v>1725716</v>
      </c>
      <c r="S24" s="145"/>
      <c r="T24" s="145"/>
      <c r="U24" s="145">
        <f>+SUM(Table_Query_from_MS_Access_Database4[[#This Row],[HSIP]:[TA OVER 200K]])</f>
        <v>1725716</v>
      </c>
      <c r="V24" s="158">
        <f>V23-Table_Query_from_MS_Access_Database4[TOTAL OF AMOUNT]</f>
        <v>13942683.84</v>
      </c>
      <c r="W24" s="138"/>
      <c r="X24" s="138"/>
    </row>
    <row r="25" spans="1:24" s="54" customFormat="1" ht="13.2" x14ac:dyDescent="0.3">
      <c r="A25" s="159" t="s">
        <v>224</v>
      </c>
      <c r="B25" s="159" t="s">
        <v>212</v>
      </c>
      <c r="C25" s="159" t="s">
        <v>110</v>
      </c>
      <c r="D25" s="160" t="s">
        <v>8</v>
      </c>
      <c r="E25" s="160" t="s">
        <v>225</v>
      </c>
      <c r="F25" s="159" t="s">
        <v>214</v>
      </c>
      <c r="G25" s="159" t="s">
        <v>215</v>
      </c>
      <c r="H25" s="159" t="s">
        <v>226</v>
      </c>
      <c r="I25" s="159" t="str">
        <f>CONCATENATE(Table_Query_from_MS_Access_Database4[[#This Row],[RTE]],Table_Query_from_MS_Access_Database4[[#This Row],[SEC]],Table_Query_from_MS_Access_Database4[[#This Row],[SEQ]])</f>
        <v>000B186</v>
      </c>
      <c r="J25" s="161"/>
      <c r="K25" s="162">
        <v>42425</v>
      </c>
      <c r="L25" s="162">
        <v>42431</v>
      </c>
      <c r="M25" s="162">
        <v>42432</v>
      </c>
      <c r="N25" s="163"/>
      <c r="O25" s="163">
        <v>147093</v>
      </c>
      <c r="P25" s="163"/>
      <c r="Q25" s="163"/>
      <c r="R25" s="163"/>
      <c r="S25" s="163"/>
      <c r="T25" s="163"/>
      <c r="U25" s="163">
        <f>+SUM(Table_Query_from_MS_Access_Database4[[#This Row],[HSIP]:[TA OVER 200K]])</f>
        <v>147093</v>
      </c>
      <c r="V25" s="158">
        <f>V24-Table_Query_from_MS_Access_Database4[TOTAL OF AMOUNT]</f>
        <v>13795590.84</v>
      </c>
      <c r="W25" s="138"/>
      <c r="X25" s="138"/>
    </row>
    <row r="26" spans="1:24" s="54" customFormat="1" ht="13.2" x14ac:dyDescent="0.3">
      <c r="A26" s="130" t="s">
        <v>211</v>
      </c>
      <c r="B26" s="130" t="s">
        <v>212</v>
      </c>
      <c r="C26" s="130" t="s">
        <v>110</v>
      </c>
      <c r="D26" s="131" t="s">
        <v>8</v>
      </c>
      <c r="E26" s="131" t="s">
        <v>213</v>
      </c>
      <c r="F26" s="130" t="s">
        <v>214</v>
      </c>
      <c r="G26" s="130" t="s">
        <v>215</v>
      </c>
      <c r="H26" s="130" t="s">
        <v>216</v>
      </c>
      <c r="I26" s="130" t="str">
        <f>CONCATENATE(Table_Query_from_MS_Access_Database4[[#This Row],[RTE]],Table_Query_from_MS_Access_Database4[[#This Row],[SEC]],Table_Query_from_MS_Access_Database4[[#This Row],[SEQ]])</f>
        <v>000B188</v>
      </c>
      <c r="J26" s="132"/>
      <c r="K26" s="96">
        <v>42425</v>
      </c>
      <c r="L26" s="96">
        <v>42431</v>
      </c>
      <c r="M26" s="96">
        <v>42432</v>
      </c>
      <c r="N26" s="145"/>
      <c r="O26" s="145">
        <v>-147093</v>
      </c>
      <c r="P26" s="145"/>
      <c r="Q26" s="145"/>
      <c r="R26" s="145"/>
      <c r="S26" s="145"/>
      <c r="T26" s="145"/>
      <c r="U26" s="145">
        <f>+SUM(Table_Query_from_MS_Access_Database4[[#This Row],[HSIP]:[TA OVER 200K]])</f>
        <v>-147093</v>
      </c>
      <c r="V26" s="158">
        <f>V25-Table_Query_from_MS_Access_Database4[TOTAL OF AMOUNT]</f>
        <v>13942683.84</v>
      </c>
      <c r="W26" s="138"/>
      <c r="X26" s="138"/>
    </row>
    <row r="27" spans="1:24" s="54" customFormat="1" ht="13.2" x14ac:dyDescent="0.3">
      <c r="A27" s="130" t="s">
        <v>222</v>
      </c>
      <c r="B27" s="130"/>
      <c r="C27" s="130" t="s">
        <v>110</v>
      </c>
      <c r="D27" s="131" t="s">
        <v>7</v>
      </c>
      <c r="E27" s="131" t="s">
        <v>219</v>
      </c>
      <c r="F27" s="130" t="s">
        <v>220</v>
      </c>
      <c r="G27" s="130" t="s">
        <v>176</v>
      </c>
      <c r="H27" s="130" t="s">
        <v>221</v>
      </c>
      <c r="I27" s="130" t="str">
        <f>CONCATENATE(Table_Query_from_MS_Access_Database4[[#This Row],[RTE]],Table_Query_from_MS_Access_Database4[[#This Row],[SEC]],Table_Query_from_MS_Access_Database4[[#This Row],[SEQ]])</f>
        <v>999A488</v>
      </c>
      <c r="J27" s="132"/>
      <c r="K27" s="96">
        <v>42431</v>
      </c>
      <c r="L27" s="96">
        <v>42437</v>
      </c>
      <c r="M27" s="96">
        <v>42438</v>
      </c>
      <c r="N27" s="145"/>
      <c r="O27" s="145"/>
      <c r="P27" s="145"/>
      <c r="Q27" s="145"/>
      <c r="R27" s="145">
        <v>1625562</v>
      </c>
      <c r="S27" s="145"/>
      <c r="T27" s="145"/>
      <c r="U27" s="145">
        <f>+SUM(Table_Query_from_MS_Access_Database4[[#This Row],[HSIP]:[TA OVER 200K]])</f>
        <v>1625562</v>
      </c>
      <c r="V27" s="158">
        <f>V26-Table_Query_from_MS_Access_Database4[TOTAL OF AMOUNT]</f>
        <v>12317121.84</v>
      </c>
      <c r="W27" s="138"/>
      <c r="X27" s="138"/>
    </row>
    <row r="28" spans="1:24" s="54" customFormat="1" ht="26.4" x14ac:dyDescent="0.3">
      <c r="A28" s="130" t="s">
        <v>158</v>
      </c>
      <c r="B28" s="130" t="s">
        <v>228</v>
      </c>
      <c r="C28" s="130" t="s">
        <v>126</v>
      </c>
      <c r="D28" s="131" t="s">
        <v>7</v>
      </c>
      <c r="E28" s="131" t="s">
        <v>159</v>
      </c>
      <c r="F28" s="130" t="s">
        <v>127</v>
      </c>
      <c r="G28" s="130" t="s">
        <v>124</v>
      </c>
      <c r="H28" s="130" t="s">
        <v>160</v>
      </c>
      <c r="I28" s="130" t="str">
        <f>CONCATENATE(Table_Query_from_MS_Access_Database4[[#This Row],[RTE]],Table_Query_from_MS_Access_Database4[[#This Row],[SEC]],Table_Query_from_MS_Access_Database4[[#This Row],[SEQ]])</f>
        <v>PPM0240</v>
      </c>
      <c r="J28" s="132">
        <v>42473</v>
      </c>
      <c r="K28" s="96">
        <v>42433</v>
      </c>
      <c r="L28" s="96">
        <v>42437</v>
      </c>
      <c r="M28" s="96">
        <v>42443</v>
      </c>
      <c r="N28" s="145"/>
      <c r="O28" s="145"/>
      <c r="P28" s="145"/>
      <c r="Q28" s="145"/>
      <c r="R28" s="145"/>
      <c r="S28" s="145"/>
      <c r="T28" s="145">
        <v>185000</v>
      </c>
      <c r="U28" s="145">
        <f>+SUM(Table_Query_from_MS_Access_Database4[[#This Row],[HSIP]:[TA OVER 200K]])</f>
        <v>185000</v>
      </c>
      <c r="V28" s="158">
        <f>V27-Table_Query_from_MS_Access_Database4[TOTAL OF AMOUNT]</f>
        <v>12132121.84</v>
      </c>
      <c r="W28" s="138"/>
      <c r="X28" s="138"/>
    </row>
    <row r="29" spans="1:24" s="54" customFormat="1" ht="13.2" x14ac:dyDescent="0.3">
      <c r="A29" s="176" t="s">
        <v>229</v>
      </c>
      <c r="B29" s="176" t="s">
        <v>230</v>
      </c>
      <c r="C29" s="176" t="s">
        <v>126</v>
      </c>
      <c r="D29" s="177" t="s">
        <v>8</v>
      </c>
      <c r="E29" s="177" t="s">
        <v>231</v>
      </c>
      <c r="F29" s="176" t="s">
        <v>127</v>
      </c>
      <c r="G29" s="176" t="s">
        <v>124</v>
      </c>
      <c r="H29" s="176" t="s">
        <v>179</v>
      </c>
      <c r="I29" s="176" t="str">
        <f>CONCATENATE(Table_Query_from_MS_Access_Database4[[#This Row],[RTE]],Table_Query_from_MS_Access_Database4[[#This Row],[SEC]],Table_Query_from_MS_Access_Database4[[#This Row],[SEQ]])</f>
        <v>PPM0243</v>
      </c>
      <c r="J29" s="178"/>
      <c r="K29" s="179">
        <v>42440</v>
      </c>
      <c r="L29" s="179">
        <v>42440</v>
      </c>
      <c r="M29" s="179">
        <v>42444</v>
      </c>
      <c r="N29" s="180">
        <v>-296000</v>
      </c>
      <c r="O29" s="180"/>
      <c r="P29" s="180"/>
      <c r="Q29" s="180"/>
      <c r="R29" s="180">
        <v>-300000</v>
      </c>
      <c r="S29" s="180"/>
      <c r="T29" s="180"/>
      <c r="U29" s="180">
        <f>+SUM(Table_Query_from_MS_Access_Database4[[#This Row],[HSIP]:[TA OVER 200K]])</f>
        <v>-596000</v>
      </c>
      <c r="V29" s="158">
        <f>V28-Table_Query_from_MS_Access_Database4[TOTAL OF AMOUNT]</f>
        <v>12728121.84</v>
      </c>
      <c r="W29" s="138"/>
      <c r="X29" s="138"/>
    </row>
    <row r="30" spans="1:24" s="54" customFormat="1" ht="13.2" x14ac:dyDescent="0.3">
      <c r="A30" s="164" t="s">
        <v>211</v>
      </c>
      <c r="B30" s="164" t="s">
        <v>212</v>
      </c>
      <c r="C30" s="164" t="s">
        <v>110</v>
      </c>
      <c r="D30" s="165" t="s">
        <v>8</v>
      </c>
      <c r="E30" s="165" t="s">
        <v>213</v>
      </c>
      <c r="F30" s="164" t="s">
        <v>214</v>
      </c>
      <c r="G30" s="164" t="s">
        <v>215</v>
      </c>
      <c r="H30" s="164" t="s">
        <v>216</v>
      </c>
      <c r="I30" s="164" t="str">
        <f>CONCATENATE(Table_Query_from_MS_Access_Database4[[#This Row],[RTE]],Table_Query_from_MS_Access_Database4[[#This Row],[SEC]],Table_Query_from_MS_Access_Database4[[#This Row],[SEQ]])</f>
        <v>000B188</v>
      </c>
      <c r="J30" s="166"/>
      <c r="K30" s="167">
        <v>42431</v>
      </c>
      <c r="L30" s="167">
        <v>42439</v>
      </c>
      <c r="M30" s="167">
        <v>42445</v>
      </c>
      <c r="N30" s="168"/>
      <c r="O30" s="168">
        <v>48601</v>
      </c>
      <c r="P30" s="168"/>
      <c r="Q30" s="168"/>
      <c r="R30" s="168"/>
      <c r="S30" s="168"/>
      <c r="T30" s="168"/>
      <c r="U30" s="168">
        <f>+SUM(Table_Query_from_MS_Access_Database4[[#This Row],[HSIP]:[TA OVER 200K]])</f>
        <v>48601</v>
      </c>
      <c r="V30" s="158">
        <f>V29-Table_Query_from_MS_Access_Database4[TOTAL OF AMOUNT]</f>
        <v>12679520.84</v>
      </c>
      <c r="W30" s="138"/>
      <c r="X30" s="138"/>
    </row>
    <row r="31" spans="1:24" s="54" customFormat="1" ht="26.4" x14ac:dyDescent="0.3">
      <c r="A31" s="130" t="s">
        <v>180</v>
      </c>
      <c r="B31" s="130" t="s">
        <v>181</v>
      </c>
      <c r="C31" s="130" t="s">
        <v>126</v>
      </c>
      <c r="D31" s="131" t="s">
        <v>7</v>
      </c>
      <c r="E31" s="131" t="s">
        <v>223</v>
      </c>
      <c r="F31" s="130" t="s">
        <v>127</v>
      </c>
      <c r="G31" s="130" t="s">
        <v>124</v>
      </c>
      <c r="H31" s="130" t="s">
        <v>182</v>
      </c>
      <c r="I31" s="130" t="str">
        <f>CONCATENATE(Table_Query_from_MS_Access_Database4[[#This Row],[RTE]],Table_Query_from_MS_Access_Database4[[#This Row],[SEC]],Table_Query_from_MS_Access_Database4[[#This Row],[SEQ]])</f>
        <v>PPM0237</v>
      </c>
      <c r="J31" s="132">
        <v>42473</v>
      </c>
      <c r="K31" s="96">
        <v>42432</v>
      </c>
      <c r="L31" s="96">
        <v>42436</v>
      </c>
      <c r="M31" s="96">
        <v>42450</v>
      </c>
      <c r="N31" s="145"/>
      <c r="O31" s="145"/>
      <c r="P31" s="145"/>
      <c r="Q31" s="145">
        <v>200000</v>
      </c>
      <c r="R31" s="145"/>
      <c r="S31" s="145"/>
      <c r="T31" s="145"/>
      <c r="U31" s="145">
        <f>+SUM(Table_Query_from_MS_Access_Database4[[#This Row],[HSIP]:[TA OVER 200K]])</f>
        <v>200000</v>
      </c>
      <c r="V31" s="158">
        <f>V30-Table_Query_from_MS_Access_Database4[TOTAL OF AMOUNT]</f>
        <v>12479520.84</v>
      </c>
      <c r="W31" s="138"/>
      <c r="X31" s="138"/>
    </row>
    <row r="32" spans="1:24" s="54" customFormat="1" ht="13.2" x14ac:dyDescent="0.3">
      <c r="A32" s="130" t="s">
        <v>185</v>
      </c>
      <c r="B32" s="130" t="s">
        <v>186</v>
      </c>
      <c r="C32" s="130" t="s">
        <v>140</v>
      </c>
      <c r="D32" s="131" t="s">
        <v>8</v>
      </c>
      <c r="E32" s="131" t="s">
        <v>187</v>
      </c>
      <c r="F32" s="130" t="s">
        <v>125</v>
      </c>
      <c r="G32" s="130" t="s">
        <v>124</v>
      </c>
      <c r="H32" s="130" t="s">
        <v>188</v>
      </c>
      <c r="I32" s="130" t="str">
        <f>CONCATENATE(Table_Query_from_MS_Access_Database4[[#This Row],[RTE]],Table_Query_from_MS_Access_Database4[[#This Row],[SEC]],Table_Query_from_MS_Access_Database4[[#This Row],[SEQ]])</f>
        <v>TUC0253</v>
      </c>
      <c r="J32" s="132"/>
      <c r="K32" s="96">
        <v>42485</v>
      </c>
      <c r="L32" s="96">
        <v>42501</v>
      </c>
      <c r="M32" s="96">
        <v>42503</v>
      </c>
      <c r="N32" s="145"/>
      <c r="O32" s="145"/>
      <c r="P32" s="145"/>
      <c r="Q32" s="145"/>
      <c r="R32" s="145"/>
      <c r="S32" s="145"/>
      <c r="T32" s="145">
        <v>25000</v>
      </c>
      <c r="U32" s="145">
        <f>+SUM(Table_Query_from_MS_Access_Database4[[#This Row],[HSIP]:[TA OVER 200K]])</f>
        <v>25000</v>
      </c>
      <c r="V32" s="158">
        <f>V31-Table_Query_from_MS_Access_Database4[TOTAL OF AMOUNT]</f>
        <v>12454520.84</v>
      </c>
      <c r="W32" s="138"/>
      <c r="X32" s="138"/>
    </row>
    <row r="33" spans="1:24" s="54" customFormat="1" ht="13.2" x14ac:dyDescent="0.3">
      <c r="A33" s="130" t="s">
        <v>222</v>
      </c>
      <c r="B33" s="130"/>
      <c r="C33" s="130" t="s">
        <v>110</v>
      </c>
      <c r="D33" s="131" t="s">
        <v>8</v>
      </c>
      <c r="E33" s="131" t="s">
        <v>219</v>
      </c>
      <c r="F33" s="130" t="s">
        <v>220</v>
      </c>
      <c r="G33" s="130" t="s">
        <v>176</v>
      </c>
      <c r="H33" s="130" t="s">
        <v>221</v>
      </c>
      <c r="I33" s="130" t="str">
        <f>CONCATENATE(Table_Query_from_MS_Access_Database4[[#This Row],[RTE]],Table_Query_from_MS_Access_Database4[[#This Row],[SEC]],Table_Query_from_MS_Access_Database4[[#This Row],[SEQ]])</f>
        <v>999A488</v>
      </c>
      <c r="J33" s="132"/>
      <c r="K33" s="96">
        <v>42496</v>
      </c>
      <c r="L33" s="96">
        <v>42499</v>
      </c>
      <c r="M33" s="96">
        <v>42506</v>
      </c>
      <c r="N33" s="145"/>
      <c r="O33" s="145"/>
      <c r="P33" s="145"/>
      <c r="Q33" s="145"/>
      <c r="R33" s="145">
        <v>350000</v>
      </c>
      <c r="S33" s="145"/>
      <c r="T33" s="145"/>
      <c r="U33" s="145">
        <f>+SUM(Table_Query_from_MS_Access_Database4[[#This Row],[HSIP]:[TA OVER 200K]])</f>
        <v>350000</v>
      </c>
      <c r="V33" s="158">
        <f>V32-Table_Query_from_MS_Access_Database4[TOTAL OF AMOUNT]</f>
        <v>12104520.84</v>
      </c>
      <c r="W33" s="138"/>
      <c r="X33" s="138"/>
    </row>
    <row r="34" spans="1:24" s="54" customFormat="1" ht="13.2" x14ac:dyDescent="0.3">
      <c r="A34" s="130" t="s">
        <v>161</v>
      </c>
      <c r="B34" s="130" t="s">
        <v>162</v>
      </c>
      <c r="C34" s="130" t="s">
        <v>126</v>
      </c>
      <c r="D34" s="131" t="s">
        <v>8</v>
      </c>
      <c r="E34" s="131" t="s">
        <v>163</v>
      </c>
      <c r="F34" s="130" t="s">
        <v>127</v>
      </c>
      <c r="G34" s="130" t="s">
        <v>124</v>
      </c>
      <c r="H34" s="130" t="s">
        <v>164</v>
      </c>
      <c r="I34" s="130" t="str">
        <f>CONCATENATE(Table_Query_from_MS_Access_Database4[[#This Row],[RTE]],Table_Query_from_MS_Access_Database4[[#This Row],[SEC]],Table_Query_from_MS_Access_Database4[[#This Row],[SEQ]])</f>
        <v>PPM0250</v>
      </c>
      <c r="J34" s="132"/>
      <c r="K34" s="96">
        <v>42485</v>
      </c>
      <c r="L34" s="96">
        <v>42503</v>
      </c>
      <c r="M34" s="96">
        <v>42507</v>
      </c>
      <c r="N34" s="145"/>
      <c r="O34" s="145"/>
      <c r="P34" s="145"/>
      <c r="Q34" s="145"/>
      <c r="R34" s="145"/>
      <c r="S34" s="145">
        <v>47000</v>
      </c>
      <c r="T34" s="145"/>
      <c r="U34" s="145">
        <f>+SUM(Table_Query_from_MS_Access_Database4[[#This Row],[HSIP]:[TA OVER 200K]])</f>
        <v>47000</v>
      </c>
      <c r="V34" s="158">
        <f>V33-Table_Query_from_MS_Access_Database4[TOTAL OF AMOUNT]</f>
        <v>12057520.84</v>
      </c>
      <c r="W34" s="138"/>
      <c r="X34" s="138"/>
    </row>
    <row r="35" spans="1:24" s="54" customFormat="1" ht="39.6" x14ac:dyDescent="0.3">
      <c r="A35" s="151" t="s">
        <v>237</v>
      </c>
      <c r="B35" s="151" t="s">
        <v>238</v>
      </c>
      <c r="C35" s="151" t="s">
        <v>105</v>
      </c>
      <c r="D35" s="152" t="s">
        <v>8</v>
      </c>
      <c r="E35" s="152" t="s">
        <v>239</v>
      </c>
      <c r="F35" s="151" t="s">
        <v>240</v>
      </c>
      <c r="G35" s="151" t="s">
        <v>176</v>
      </c>
      <c r="H35" s="151" t="s">
        <v>241</v>
      </c>
      <c r="I35" s="151" t="str">
        <f>CONCATENATE(Table_Query_from_MS_Access_Database4[[#This Row],[RTE]],Table_Query_from_MS_Access_Database4[[#This Row],[SEC]],Table_Query_from_MS_Access_Database4[[#This Row],[SEQ]])</f>
        <v>019A220</v>
      </c>
      <c r="J35" s="157"/>
      <c r="K35" s="153">
        <v>42390</v>
      </c>
      <c r="L35" s="153">
        <v>42508</v>
      </c>
      <c r="M35" s="153">
        <v>42513</v>
      </c>
      <c r="N35" s="158"/>
      <c r="O35" s="158"/>
      <c r="P35" s="158"/>
      <c r="Q35" s="158"/>
      <c r="R35" s="158">
        <v>-4852</v>
      </c>
      <c r="S35" s="158"/>
      <c r="T35" s="158"/>
      <c r="U35" s="158">
        <f>+SUM(Table_Query_from_MS_Access_Database4[[#This Row],[HSIP]:[TA OVER 200K]])</f>
        <v>-4852</v>
      </c>
      <c r="V35" s="158">
        <f>V34-Table_Query_from_MS_Access_Database4[TOTAL OF AMOUNT]</f>
        <v>12062372.84</v>
      </c>
      <c r="W35" s="138"/>
      <c r="X35" s="138"/>
    </row>
    <row r="36" spans="1:24" s="54" customFormat="1" ht="39.6" x14ac:dyDescent="0.3">
      <c r="A36" s="151" t="s">
        <v>237</v>
      </c>
      <c r="B36" s="151" t="s">
        <v>238</v>
      </c>
      <c r="C36" s="151" t="s">
        <v>105</v>
      </c>
      <c r="D36" s="152" t="s">
        <v>257</v>
      </c>
      <c r="E36" s="152" t="s">
        <v>239</v>
      </c>
      <c r="F36" s="151" t="s">
        <v>240</v>
      </c>
      <c r="G36" s="151" t="s">
        <v>176</v>
      </c>
      <c r="H36" s="151" t="s">
        <v>241</v>
      </c>
      <c r="I36" s="151" t="str">
        <f>CONCATENATE(Table_Query_from_MS_Access_Database4[[#This Row],[RTE]],Table_Query_from_MS_Access_Database4[[#This Row],[SEC]],Table_Query_from_MS_Access_Database4[[#This Row],[SEQ]])</f>
        <v>019A220</v>
      </c>
      <c r="J36" s="157"/>
      <c r="K36" s="153">
        <v>42390</v>
      </c>
      <c r="L36" s="153">
        <v>42508</v>
      </c>
      <c r="M36" s="153">
        <v>42513</v>
      </c>
      <c r="N36" s="158"/>
      <c r="O36" s="158"/>
      <c r="P36" s="158"/>
      <c r="Q36" s="158"/>
      <c r="R36" s="158">
        <v>-4852</v>
      </c>
      <c r="S36" s="158"/>
      <c r="T36" s="158"/>
      <c r="U36" s="158">
        <f>+SUM(Table_Query_from_MS_Access_Database4[[#This Row],[HSIP]:[TA OVER 200K]])</f>
        <v>-4852</v>
      </c>
      <c r="V36" s="158">
        <f>V35-Table_Query_from_MS_Access_Database4[TOTAL OF AMOUNT]</f>
        <v>12067224.84</v>
      </c>
      <c r="W36" s="138"/>
      <c r="X36" s="138"/>
    </row>
    <row r="37" spans="1:24" s="54" customFormat="1" ht="13.2" x14ac:dyDescent="0.3">
      <c r="A37" s="130" t="s">
        <v>245</v>
      </c>
      <c r="B37" s="130" t="s">
        <v>246</v>
      </c>
      <c r="C37" s="130" t="s">
        <v>105</v>
      </c>
      <c r="D37" s="131" t="s">
        <v>7</v>
      </c>
      <c r="E37" s="131" t="s">
        <v>247</v>
      </c>
      <c r="F37" s="130" t="s">
        <v>156</v>
      </c>
      <c r="G37" s="130" t="s">
        <v>157</v>
      </c>
      <c r="H37" s="130" t="s">
        <v>139</v>
      </c>
      <c r="I37" s="130" t="str">
        <f>CONCATENATE(Table_Query_from_MS_Access_Database4[[#This Row],[RTE]],Table_Query_from_MS_Access_Database4[[#This Row],[SEC]],Table_Query_from_MS_Access_Database4[[#This Row],[SEQ]])</f>
        <v>010D216</v>
      </c>
      <c r="J37" s="132">
        <v>42489</v>
      </c>
      <c r="K37" s="96">
        <v>42524</v>
      </c>
      <c r="L37" s="96">
        <v>42529</v>
      </c>
      <c r="M37" s="96">
        <v>42530</v>
      </c>
      <c r="N37" s="145"/>
      <c r="O37" s="145"/>
      <c r="P37" s="145"/>
      <c r="Q37" s="145"/>
      <c r="R37" s="145">
        <v>600000</v>
      </c>
      <c r="S37" s="145"/>
      <c r="T37" s="145"/>
      <c r="U37" s="145">
        <f>+SUM(Table_Query_from_MS_Access_Database4[[#This Row],[HSIP]:[TA OVER 200K]])</f>
        <v>600000</v>
      </c>
      <c r="V37" s="158">
        <f>V36-Table_Query_from_MS_Access_Database4[TOTAL OF AMOUNT]</f>
        <v>11467224.84</v>
      </c>
      <c r="W37" s="138"/>
      <c r="X37" s="138"/>
    </row>
    <row r="38" spans="1:24" s="54" customFormat="1" ht="13.2" x14ac:dyDescent="0.3">
      <c r="A38" s="176" t="s">
        <v>165</v>
      </c>
      <c r="B38" s="176" t="s">
        <v>166</v>
      </c>
      <c r="C38" s="176" t="s">
        <v>140</v>
      </c>
      <c r="D38" s="177" t="s">
        <v>7</v>
      </c>
      <c r="E38" s="177" t="s">
        <v>167</v>
      </c>
      <c r="F38" s="176" t="s">
        <v>125</v>
      </c>
      <c r="G38" s="176" t="s">
        <v>124</v>
      </c>
      <c r="H38" s="176" t="s">
        <v>168</v>
      </c>
      <c r="I38" s="176" t="str">
        <f>CONCATENATE(Table_Query_from_MS_Access_Database4[[#This Row],[RTE]],Table_Query_from_MS_Access_Database4[[#This Row],[SEC]],Table_Query_from_MS_Access_Database4[[#This Row],[SEQ]])</f>
        <v>TUC0201</v>
      </c>
      <c r="J38" s="178">
        <v>42491</v>
      </c>
      <c r="K38" s="179">
        <v>42480</v>
      </c>
      <c r="L38" s="179">
        <v>42516</v>
      </c>
      <c r="M38" s="179">
        <v>42530</v>
      </c>
      <c r="N38" s="180"/>
      <c r="O38" s="180"/>
      <c r="P38" s="180"/>
      <c r="Q38" s="180"/>
      <c r="R38" s="180">
        <v>6965000</v>
      </c>
      <c r="S38" s="180"/>
      <c r="T38" s="180"/>
      <c r="U38" s="180">
        <f>+SUM(Table_Query_from_MS_Access_Database4[[#This Row],[HSIP]:[TA OVER 200K]])</f>
        <v>6965000</v>
      </c>
      <c r="V38" s="158">
        <f>V37-Table_Query_from_MS_Access_Database4[TOTAL OF AMOUNT]</f>
        <v>4502224.84</v>
      </c>
      <c r="W38" s="138"/>
      <c r="X38" s="138"/>
    </row>
    <row r="39" spans="1:24" s="54" customFormat="1" ht="13.2" x14ac:dyDescent="0.3">
      <c r="A39" s="130" t="s">
        <v>202</v>
      </c>
      <c r="B39" s="130" t="s">
        <v>183</v>
      </c>
      <c r="C39" s="130" t="s">
        <v>126</v>
      </c>
      <c r="D39" s="131" t="s">
        <v>7</v>
      </c>
      <c r="E39" s="131" t="s">
        <v>203</v>
      </c>
      <c r="F39" s="130" t="s">
        <v>127</v>
      </c>
      <c r="G39" s="130" t="s">
        <v>124</v>
      </c>
      <c r="H39" s="130" t="s">
        <v>204</v>
      </c>
      <c r="I39" s="130" t="str">
        <f>CONCATENATE(Table_Query_from_MS_Access_Database4[[#This Row],[RTE]],Table_Query_from_MS_Access_Database4[[#This Row],[SEC]],Table_Query_from_MS_Access_Database4[[#This Row],[SEQ]])</f>
        <v>PPM0242</v>
      </c>
      <c r="J39" s="132">
        <v>42517</v>
      </c>
      <c r="K39" s="96">
        <v>42541</v>
      </c>
      <c r="L39" s="96">
        <v>42548</v>
      </c>
      <c r="M39" s="96">
        <v>42550</v>
      </c>
      <c r="N39" s="145"/>
      <c r="O39" s="145"/>
      <c r="P39" s="145"/>
      <c r="Q39" s="145">
        <v>76191</v>
      </c>
      <c r="R39" s="145">
        <v>623809</v>
      </c>
      <c r="S39" s="145"/>
      <c r="T39" s="145"/>
      <c r="U39" s="145">
        <f>+SUM(Table_Query_from_MS_Access_Database4[[#This Row],[HSIP]:[TA OVER 200K]])</f>
        <v>700000</v>
      </c>
      <c r="V39" s="158">
        <f>V38-Table_Query_from_MS_Access_Database4[TOTAL OF AMOUNT]</f>
        <v>3802224.84</v>
      </c>
      <c r="W39" s="138"/>
      <c r="X39" s="138"/>
    </row>
    <row r="40" spans="1:24" s="54" customFormat="1" ht="13.2" x14ac:dyDescent="0.3">
      <c r="A40" s="130" t="s">
        <v>172</v>
      </c>
      <c r="B40" s="130" t="s">
        <v>173</v>
      </c>
      <c r="C40" s="130" t="s">
        <v>105</v>
      </c>
      <c r="D40" s="131" t="s">
        <v>7</v>
      </c>
      <c r="E40" s="131" t="s">
        <v>174</v>
      </c>
      <c r="F40" s="130" t="s">
        <v>175</v>
      </c>
      <c r="G40" s="130" t="s">
        <v>176</v>
      </c>
      <c r="H40" s="130" t="s">
        <v>249</v>
      </c>
      <c r="I40" s="130" t="str">
        <f>CONCATENATE(Table_Query_from_MS_Access_Database4[[#This Row],[RTE]],Table_Query_from_MS_Access_Database4[[#This Row],[SEC]],Table_Query_from_MS_Access_Database4[[#This Row],[SEQ]])</f>
        <v>094A475</v>
      </c>
      <c r="J40" s="132">
        <v>42522</v>
      </c>
      <c r="K40" s="96">
        <v>42534</v>
      </c>
      <c r="L40" s="96">
        <v>42535</v>
      </c>
      <c r="M40" s="96">
        <v>42551</v>
      </c>
      <c r="N40" s="145"/>
      <c r="O40" s="145"/>
      <c r="P40" s="145"/>
      <c r="Q40" s="145">
        <v>50000</v>
      </c>
      <c r="R40" s="145"/>
      <c r="S40" s="145"/>
      <c r="T40" s="145"/>
      <c r="U40" s="145">
        <f>+SUM(Table_Query_from_MS_Access_Database4[[#This Row],[HSIP]:[TA OVER 200K]])</f>
        <v>50000</v>
      </c>
      <c r="V40" s="158">
        <f>V39-Table_Query_from_MS_Access_Database4[TOTAL OF AMOUNT]</f>
        <v>3752224.84</v>
      </c>
      <c r="W40" s="138"/>
      <c r="X40" s="138"/>
    </row>
    <row r="41" spans="1:24" s="54" customFormat="1" ht="26.4" x14ac:dyDescent="0.3">
      <c r="A41" s="176" t="s">
        <v>232</v>
      </c>
      <c r="B41" s="176" t="s">
        <v>248</v>
      </c>
      <c r="C41" s="176" t="s">
        <v>126</v>
      </c>
      <c r="D41" s="177" t="s">
        <v>7</v>
      </c>
      <c r="E41" s="177" t="s">
        <v>233</v>
      </c>
      <c r="F41" s="176" t="s">
        <v>127</v>
      </c>
      <c r="G41" s="176" t="s">
        <v>124</v>
      </c>
      <c r="H41" s="176" t="s">
        <v>234</v>
      </c>
      <c r="I41" s="176" t="str">
        <f>CONCATENATE(Table_Query_from_MS_Access_Database4[[#This Row],[RTE]],Table_Query_from_MS_Access_Database4[[#This Row],[SEC]],Table_Query_from_MS_Access_Database4[[#This Row],[SEQ]])</f>
        <v>PPM0228</v>
      </c>
      <c r="J41" s="178">
        <v>42516</v>
      </c>
      <c r="K41" s="179">
        <v>42534</v>
      </c>
      <c r="L41" s="179">
        <v>42550</v>
      </c>
      <c r="M41" s="179">
        <v>42556</v>
      </c>
      <c r="N41" s="180"/>
      <c r="O41" s="180"/>
      <c r="P41" s="180"/>
      <c r="Q41" s="180"/>
      <c r="R41" s="180">
        <v>375000</v>
      </c>
      <c r="S41" s="180"/>
      <c r="T41" s="180"/>
      <c r="U41" s="180">
        <f>+SUM(Table_Query_from_MS_Access_Database4[[#This Row],[HSIP]:[TA OVER 200K]])</f>
        <v>375000</v>
      </c>
      <c r="V41" s="158">
        <f>V40-Table_Query_from_MS_Access_Database4[TOTAL OF AMOUNT]</f>
        <v>3377224.84</v>
      </c>
      <c r="W41" s="138"/>
      <c r="X41" s="138"/>
    </row>
    <row r="42" spans="1:24" s="54" customFormat="1" ht="13.2" x14ac:dyDescent="0.3">
      <c r="A42" s="181" t="s">
        <v>250</v>
      </c>
      <c r="B42" s="181" t="s">
        <v>184</v>
      </c>
      <c r="C42" s="181" t="s">
        <v>140</v>
      </c>
      <c r="D42" s="182" t="s">
        <v>7</v>
      </c>
      <c r="E42" s="182" t="s">
        <v>205</v>
      </c>
      <c r="F42" s="181" t="s">
        <v>125</v>
      </c>
      <c r="G42" s="181" t="s">
        <v>124</v>
      </c>
      <c r="H42" s="181" t="s">
        <v>206</v>
      </c>
      <c r="I42" s="181" t="str">
        <f>CONCATENATE(Table_Query_from_MS_Access_Database4[[#This Row],[RTE]],Table_Query_from_MS_Access_Database4[[#This Row],[SEC]],Table_Query_from_MS_Access_Database4[[#This Row],[SEQ]])</f>
        <v>TUC0259</v>
      </c>
      <c r="J42" s="183">
        <v>42597</v>
      </c>
      <c r="K42" s="184">
        <v>42549</v>
      </c>
      <c r="L42" s="184">
        <v>42558</v>
      </c>
      <c r="M42" s="184">
        <v>42580</v>
      </c>
      <c r="N42" s="185"/>
      <c r="O42" s="185"/>
      <c r="P42" s="185"/>
      <c r="Q42" s="185"/>
      <c r="R42" s="185"/>
      <c r="S42" s="185"/>
      <c r="T42" s="185">
        <v>799673</v>
      </c>
      <c r="U42" s="185">
        <f>+SUM(Table_Query_from_MS_Access_Database4[[#This Row],[HSIP]:[TA OVER 200K]])</f>
        <v>799673</v>
      </c>
      <c r="V42" s="158">
        <f>V41-Table_Query_from_MS_Access_Database4[TOTAL OF AMOUNT]</f>
        <v>2577551.84</v>
      </c>
      <c r="W42" s="138"/>
      <c r="X42" s="138"/>
    </row>
    <row r="43" spans="1:24" s="54" customFormat="1" ht="13.2" x14ac:dyDescent="0.3">
      <c r="A43" s="130" t="s">
        <v>244</v>
      </c>
      <c r="B43" s="130" t="s">
        <v>199</v>
      </c>
      <c r="C43" s="130" t="s">
        <v>110</v>
      </c>
      <c r="D43" s="131" t="s">
        <v>7</v>
      </c>
      <c r="E43" s="131" t="s">
        <v>200</v>
      </c>
      <c r="F43" s="130" t="s">
        <v>251</v>
      </c>
      <c r="G43" s="130" t="s">
        <v>124</v>
      </c>
      <c r="H43" s="130" t="s">
        <v>252</v>
      </c>
      <c r="I43" s="130" t="str">
        <f>CONCATENATE(Table_Query_from_MS_Access_Database4[[#This Row],[RTE]],Table_Query_from_MS_Access_Database4[[#This Row],[SEC]],Table_Query_from_MS_Access_Database4[[#This Row],[SEQ]])</f>
        <v>PCA0202</v>
      </c>
      <c r="J43" s="132">
        <v>42503</v>
      </c>
      <c r="K43" s="96">
        <v>42538</v>
      </c>
      <c r="L43" s="96">
        <v>42544</v>
      </c>
      <c r="M43" s="96">
        <v>42591</v>
      </c>
      <c r="N43" s="145">
        <v>428122</v>
      </c>
      <c r="O43" s="145"/>
      <c r="P43" s="145"/>
      <c r="Q43" s="145"/>
      <c r="R43" s="145"/>
      <c r="S43" s="145"/>
      <c r="T43" s="145"/>
      <c r="U43" s="145">
        <f>+SUM(Table_Query_from_MS_Access_Database4[[#This Row],[HSIP]:[TA OVER 200K]])</f>
        <v>428122</v>
      </c>
      <c r="V43" s="158">
        <f>V42-Table_Query_from_MS_Access_Database4[TOTAL OF AMOUNT]</f>
        <v>2149429.84</v>
      </c>
      <c r="W43" s="138"/>
      <c r="X43" s="138"/>
    </row>
    <row r="44" spans="1:24" s="54" customFormat="1" ht="13.2" x14ac:dyDescent="0.3">
      <c r="A44" s="130" t="s">
        <v>227</v>
      </c>
      <c r="B44" s="130" t="s">
        <v>177</v>
      </c>
      <c r="C44" s="130" t="s">
        <v>126</v>
      </c>
      <c r="D44" s="131" t="s">
        <v>7</v>
      </c>
      <c r="E44" s="131" t="s">
        <v>178</v>
      </c>
      <c r="F44" s="130" t="s">
        <v>127</v>
      </c>
      <c r="G44" s="130" t="s">
        <v>124</v>
      </c>
      <c r="H44" s="130" t="s">
        <v>243</v>
      </c>
      <c r="I44" s="130" t="str">
        <f>CONCATENATE(Table_Query_from_MS_Access_Database4[[#This Row],[RTE]],Table_Query_from_MS_Access_Database4[[#This Row],[SEC]],Table_Query_from_MS_Access_Database4[[#This Row],[SEQ]])</f>
        <v>PPM0256</v>
      </c>
      <c r="J44" s="132"/>
      <c r="K44" s="96">
        <v>42573</v>
      </c>
      <c r="L44" s="96">
        <v>42585</v>
      </c>
      <c r="M44" s="96">
        <v>42592</v>
      </c>
      <c r="N44" s="145"/>
      <c r="O44" s="145"/>
      <c r="P44" s="145"/>
      <c r="Q44" s="145">
        <v>599748</v>
      </c>
      <c r="R44" s="145"/>
      <c r="S44" s="145"/>
      <c r="T44" s="145"/>
      <c r="U44" s="145">
        <f>+SUM(Table_Query_from_MS_Access_Database4[[#This Row],[HSIP]:[TA OVER 200K]])</f>
        <v>599748</v>
      </c>
      <c r="V44" s="158">
        <f>V43-Table_Query_from_MS_Access_Database4[TOTAL OF AMOUNT]</f>
        <v>1549681.8399999999</v>
      </c>
      <c r="W44" s="138"/>
      <c r="X44" s="138"/>
    </row>
    <row r="45" spans="1:24" s="54" customFormat="1" ht="13.2" x14ac:dyDescent="0.3">
      <c r="A45" s="130" t="s">
        <v>253</v>
      </c>
      <c r="B45" s="130"/>
      <c r="C45" s="130" t="s">
        <v>110</v>
      </c>
      <c r="D45" s="131" t="s">
        <v>7</v>
      </c>
      <c r="E45" s="131" t="s">
        <v>254</v>
      </c>
      <c r="F45" s="130" t="s">
        <v>251</v>
      </c>
      <c r="G45" s="130" t="s">
        <v>255</v>
      </c>
      <c r="H45" s="130" t="s">
        <v>256</v>
      </c>
      <c r="I45" s="130" t="str">
        <f>CONCATENATE(Table_Query_from_MS_Access_Database4[[#This Row],[RTE]],Table_Query_from_MS_Access_Database4[[#This Row],[SEC]],Table_Query_from_MS_Access_Database4[[#This Row],[SEQ]])</f>
        <v>PCAT017</v>
      </c>
      <c r="J45" s="132"/>
      <c r="K45" s="96">
        <v>42605</v>
      </c>
      <c r="L45" s="96">
        <v>42611</v>
      </c>
      <c r="M45" s="96">
        <v>42614</v>
      </c>
      <c r="N45" s="145"/>
      <c r="O45" s="145"/>
      <c r="P45" s="145"/>
      <c r="Q45" s="145">
        <v>1544577.84</v>
      </c>
      <c r="R45" s="145"/>
      <c r="S45" s="145"/>
      <c r="T45" s="145"/>
      <c r="U45" s="145">
        <f>+SUM(Table_Query_from_MS_Access_Database4[[#This Row],[HSIP]:[TA OVER 200K]])</f>
        <v>1544577.84</v>
      </c>
      <c r="V45" s="158">
        <f>V44-Table_Query_from_MS_Access_Database4[TOTAL OF AMOUNT]</f>
        <v>5103.9999999997672</v>
      </c>
      <c r="W45" s="138"/>
      <c r="X45" s="138"/>
    </row>
    <row r="46" spans="1:24" s="54" customFormat="1" ht="13.2" x14ac:dyDescent="0.3">
      <c r="A46" s="134"/>
      <c r="B46" s="134"/>
      <c r="C46" s="134"/>
      <c r="D46" s="83"/>
      <c r="E46" s="83"/>
      <c r="J46" s="97"/>
      <c r="K46" s="97"/>
      <c r="L46" s="97"/>
      <c r="M46" s="107" t="s">
        <v>84</v>
      </c>
      <c r="N46" s="135">
        <f>+SUM(Table_Query_from_MS_Access_Database4[[#All],[HSIP]])</f>
        <v>-128858.32999999996</v>
      </c>
      <c r="O46" s="135">
        <f>+SUM(Table_Query_from_MS_Access_Database4[[#All],[PL]])</f>
        <v>964407</v>
      </c>
      <c r="P46" s="135">
        <f>+SUM(Table_Query_from_MS_Access_Database4[[#All],[SPR]])</f>
        <v>0</v>
      </c>
      <c r="Q46" s="135">
        <f>+SUM(Table_Query_from_MS_Access_Database4[[#All],[STP OTHER]])</f>
        <v>2452606.87</v>
      </c>
      <c r="R46" s="135">
        <f>+SUM(Table_Query_from_MS_Access_Database4[[#All],[STP OVER 200K]])</f>
        <v>13115433</v>
      </c>
      <c r="S46" s="135">
        <f>+SUM(Table_Query_from_MS_Access_Database4[[#All],[TA OTHER]])</f>
        <v>47000</v>
      </c>
      <c r="T46" s="135">
        <f>+SUM(Table_Query_from_MS_Access_Database4[[#All],[TA OVER 200K]])</f>
        <v>1009673</v>
      </c>
      <c r="U46" s="135">
        <f>+SUM(Table_Query_from_MS_Access_Database4[[#All],[TOTAL OF AMOUNT]])</f>
        <v>17460261.539999999</v>
      </c>
      <c r="V46" s="115"/>
      <c r="W46" s="109"/>
      <c r="X46" s="110"/>
    </row>
    <row r="47" spans="1:24" s="54" customFormat="1" ht="13.2" x14ac:dyDescent="0.3">
      <c r="A47" s="134"/>
      <c r="B47" s="134"/>
      <c r="C47" s="134"/>
      <c r="D47" s="83"/>
      <c r="E47" s="83"/>
      <c r="J47" s="97"/>
      <c r="K47" s="97"/>
      <c r="L47" s="97"/>
      <c r="M47" s="108" t="s">
        <v>83</v>
      </c>
      <c r="N47" s="136">
        <f t="shared" ref="N47:U47" si="2">+N13-N46</f>
        <v>1190669.0019999999</v>
      </c>
      <c r="O47" s="136">
        <f t="shared" si="2"/>
        <v>-0.44403000001329929</v>
      </c>
      <c r="P47" s="136">
        <f t="shared" si="2"/>
        <v>350000</v>
      </c>
      <c r="Q47" s="136">
        <f t="shared" si="2"/>
        <v>114996.12999999989</v>
      </c>
      <c r="R47" s="136">
        <f t="shared" si="2"/>
        <v>135428.61502575316</v>
      </c>
      <c r="S47" s="136">
        <f t="shared" si="2"/>
        <v>124205</v>
      </c>
      <c r="T47" s="136">
        <f t="shared" si="2"/>
        <v>329299.84000000008</v>
      </c>
      <c r="U47" s="136">
        <f t="shared" si="2"/>
        <v>2244598.1429957561</v>
      </c>
      <c r="V47" s="115"/>
      <c r="W47" s="109"/>
      <c r="X47" s="110"/>
    </row>
    <row r="48" spans="1:24" s="52" customFormat="1" x14ac:dyDescent="0.3">
      <c r="A48" s="95"/>
      <c r="B48" s="95"/>
      <c r="C48" s="95"/>
      <c r="D48" s="83"/>
      <c r="E48" s="83"/>
      <c r="F48" s="54"/>
      <c r="G48" s="54"/>
      <c r="H48" s="54"/>
      <c r="I48" s="54"/>
      <c r="J48" s="97"/>
      <c r="K48" s="97"/>
      <c r="L48" s="97"/>
      <c r="M48" s="97"/>
      <c r="N48" s="98"/>
      <c r="O48" s="98"/>
      <c r="P48" s="98"/>
      <c r="Q48" s="98"/>
      <c r="R48" s="98"/>
      <c r="S48" s="98"/>
      <c r="T48" s="98"/>
      <c r="U48" s="98"/>
      <c r="V48" s="58"/>
      <c r="W48" s="55"/>
      <c r="X48" s="56"/>
    </row>
    <row r="49" spans="1:24" s="55" customFormat="1" ht="16.8" x14ac:dyDescent="0.3">
      <c r="A49" s="186" t="s">
        <v>36</v>
      </c>
      <c r="B49" s="186"/>
      <c r="C49" s="186"/>
      <c r="D49" s="186"/>
      <c r="E49" s="83"/>
      <c r="F49" s="99"/>
      <c r="G49" s="99"/>
      <c r="H49" s="99"/>
      <c r="I49" s="54"/>
      <c r="J49" s="97"/>
      <c r="K49" s="97"/>
      <c r="L49" s="97"/>
      <c r="M49" s="97"/>
      <c r="N49" s="98"/>
      <c r="O49" s="98"/>
      <c r="P49" s="98"/>
      <c r="Q49" s="98"/>
      <c r="R49" s="98"/>
      <c r="S49" s="98"/>
      <c r="T49" s="98"/>
      <c r="U49" s="98"/>
      <c r="V49" s="58"/>
      <c r="W49" s="86"/>
      <c r="X49" s="86"/>
    </row>
    <row r="50" spans="1:24" s="109" customFormat="1" ht="39.6" x14ac:dyDescent="0.3">
      <c r="A50" s="101" t="s">
        <v>1</v>
      </c>
      <c r="B50" s="101" t="s">
        <v>0</v>
      </c>
      <c r="C50" s="101" t="s">
        <v>3</v>
      </c>
      <c r="D50" s="100" t="s">
        <v>92</v>
      </c>
      <c r="E50" s="100" t="s">
        <v>2</v>
      </c>
      <c r="F50" s="100" t="s">
        <v>52</v>
      </c>
      <c r="G50" s="100" t="s">
        <v>53</v>
      </c>
      <c r="H50" s="100" t="s">
        <v>54</v>
      </c>
      <c r="I50" s="100" t="s">
        <v>60</v>
      </c>
      <c r="J50" s="100" t="s">
        <v>55</v>
      </c>
      <c r="K50" s="100" t="s">
        <v>56</v>
      </c>
      <c r="L50" s="100" t="s">
        <v>57</v>
      </c>
      <c r="M50" s="100" t="s">
        <v>58</v>
      </c>
      <c r="N50" s="100" t="s">
        <v>4</v>
      </c>
      <c r="O50" s="100" t="s">
        <v>45</v>
      </c>
      <c r="P50" s="100" t="s">
        <v>5</v>
      </c>
      <c r="Q50" s="100" t="s">
        <v>59</v>
      </c>
      <c r="R50" s="100" t="s">
        <v>102</v>
      </c>
      <c r="S50" s="100" t="s">
        <v>103</v>
      </c>
      <c r="T50" s="100" t="s">
        <v>104</v>
      </c>
      <c r="U50" s="100" t="s">
        <v>94</v>
      </c>
      <c r="V50" s="106" t="s">
        <v>61</v>
      </c>
      <c r="W50" s="86"/>
      <c r="X50" s="86"/>
    </row>
    <row r="51" spans="1:24" s="54" customFormat="1" ht="13.2" x14ac:dyDescent="0.3">
      <c r="A51" s="154"/>
      <c r="B51" s="156"/>
      <c r="C51" s="154"/>
      <c r="D51" s="155"/>
      <c r="E51" s="83"/>
      <c r="F51" s="99"/>
      <c r="G51" s="99"/>
      <c r="H51" s="99"/>
      <c r="I51" s="99" t="str">
        <f>CONCATENATE(Table_Query_from_MS_Access_Database_1[[#This Row],[RTE]],Table_Query_from_MS_Access_Database_1[[#This Row],[SEC]],Table_Query_from_MS_Access_Database_1[[#This Row],[SEQ]])</f>
        <v/>
      </c>
      <c r="J51" s="96"/>
      <c r="K51" s="96"/>
      <c r="L51" s="96"/>
      <c r="M51" s="96"/>
      <c r="N51" s="115"/>
      <c r="O51" s="114"/>
      <c r="P51" s="114"/>
      <c r="Q51" s="114"/>
      <c r="R51" s="114"/>
      <c r="S51" s="114"/>
      <c r="T51" s="114"/>
      <c r="U51" s="114">
        <f>+SUM(Table_Query_from_MS_Access_Database_1[[#This Row],[HSIP]:[TA OVER 200K]])</f>
        <v>0</v>
      </c>
      <c r="V51" s="114">
        <f>V45-Table_Query_from_MS_Access_Database_1[TOTAL OF AMOUNT]</f>
        <v>5103.9999999997672</v>
      </c>
      <c r="W51" s="86"/>
      <c r="X51" s="86"/>
    </row>
    <row r="52" spans="1:24" s="54" customFormat="1" ht="13.2" x14ac:dyDescent="0.3">
      <c r="A52" s="134"/>
      <c r="B52" s="134"/>
      <c r="C52" s="134"/>
      <c r="D52" s="83"/>
      <c r="E52" s="83"/>
      <c r="J52" s="97"/>
      <c r="K52" s="97"/>
      <c r="L52" s="97"/>
      <c r="M52" s="107" t="s">
        <v>84</v>
      </c>
      <c r="N52" s="135">
        <f>+SUM(Table_Query_from_MS_Access_Database_1[[#All],[HSIP]])</f>
        <v>0</v>
      </c>
      <c r="O52" s="135">
        <f>+SUM(Table_Query_from_MS_Access_Database_1[[#All],[PL]])</f>
        <v>0</v>
      </c>
      <c r="P52" s="135">
        <f>+SUM(Table_Query_from_MS_Access_Database_1[[#All],[SPR]])</f>
        <v>0</v>
      </c>
      <c r="Q52" s="135">
        <f>+SUM(Table_Query_from_MS_Access_Database_1[[#All],[STP OTHER]])</f>
        <v>0</v>
      </c>
      <c r="R52" s="135">
        <f>+SUM(Table_Query_from_MS_Access_Database_1[[#All],[STP OVER 200K]])</f>
        <v>0</v>
      </c>
      <c r="S52" s="135">
        <f>+SUM(Table_Query_from_MS_Access_Database_1[[#All],[TA OTHER]])</f>
        <v>0</v>
      </c>
      <c r="T52" s="135">
        <f>+SUM(Table_Query_from_MS_Access_Database_1[[#All],[TA OVER 200K]])</f>
        <v>0</v>
      </c>
      <c r="U52" s="135">
        <f>+SUM(Table_Query_from_MS_Access_Database_1[[#All],[TOTAL OF AMOUNT]])</f>
        <v>0</v>
      </c>
      <c r="V52" s="115"/>
      <c r="W52" s="109"/>
      <c r="X52" s="110"/>
    </row>
    <row r="53" spans="1:24" s="54" customFormat="1" ht="13.2" x14ac:dyDescent="0.3">
      <c r="A53" s="134"/>
      <c r="B53" s="134"/>
      <c r="C53" s="134"/>
      <c r="D53" s="83"/>
      <c r="E53" s="83"/>
      <c r="J53" s="97"/>
      <c r="K53" s="97"/>
      <c r="L53" s="97"/>
      <c r="M53" s="108" t="s">
        <v>83</v>
      </c>
      <c r="N53" s="136">
        <f t="shared" ref="N53:U53" si="3">+N47-N52</f>
        <v>1190669.0019999999</v>
      </c>
      <c r="O53" s="136">
        <f t="shared" si="3"/>
        <v>-0.44403000001329929</v>
      </c>
      <c r="P53" s="136">
        <f t="shared" si="3"/>
        <v>350000</v>
      </c>
      <c r="Q53" s="136">
        <f t="shared" si="3"/>
        <v>114996.12999999989</v>
      </c>
      <c r="R53" s="136">
        <f t="shared" si="3"/>
        <v>135428.61502575316</v>
      </c>
      <c r="S53" s="137">
        <f t="shared" si="3"/>
        <v>124205</v>
      </c>
      <c r="T53" s="136">
        <f t="shared" si="3"/>
        <v>329299.84000000008</v>
      </c>
      <c r="U53" s="136">
        <f t="shared" si="3"/>
        <v>2244598.1429957561</v>
      </c>
      <c r="V53" s="115"/>
      <c r="W53" s="109"/>
      <c r="X53" s="110"/>
    </row>
    <row r="54" spans="1:24" s="54" customFormat="1" ht="14.4" x14ac:dyDescent="0.3">
      <c r="A54" s="95"/>
      <c r="B54" s="95"/>
      <c r="C54" s="95"/>
      <c r="D54" s="83"/>
      <c r="E54" s="83"/>
      <c r="J54" s="97"/>
      <c r="K54" s="97"/>
      <c r="L54" s="97"/>
      <c r="M54" s="97"/>
      <c r="N54" s="98"/>
      <c r="O54" s="98"/>
      <c r="P54" s="98"/>
      <c r="Q54" s="98"/>
      <c r="R54" s="98"/>
      <c r="S54" s="98"/>
      <c r="T54" s="98"/>
      <c r="U54" s="98"/>
      <c r="V54" s="58"/>
      <c r="W54" s="109"/>
      <c r="X54" s="110"/>
    </row>
    <row r="55" spans="1:24" s="54" customFormat="1" x14ac:dyDescent="0.3">
      <c r="A55" s="52"/>
      <c r="B55" s="52"/>
      <c r="C55" s="52"/>
      <c r="D55" s="52"/>
      <c r="E55" s="52"/>
      <c r="F55" s="52"/>
      <c r="G55" s="52"/>
      <c r="H55" s="52"/>
      <c r="I55" s="52"/>
      <c r="J55" s="102"/>
      <c r="K55" s="102"/>
      <c r="L55" s="102"/>
      <c r="M55" s="102"/>
      <c r="N55" s="53"/>
      <c r="O55" s="53"/>
      <c r="P55" s="53"/>
      <c r="Q55" s="53"/>
      <c r="R55" s="53"/>
      <c r="S55" s="53"/>
      <c r="T55" s="58"/>
      <c r="U55" s="76"/>
      <c r="V55" s="58"/>
      <c r="W55" s="58"/>
    </row>
    <row r="56" spans="1:24" s="54" customFormat="1" x14ac:dyDescent="0.3">
      <c r="A56" s="52"/>
      <c r="B56" s="52"/>
      <c r="C56" s="52"/>
      <c r="D56" s="52"/>
      <c r="E56" s="52"/>
      <c r="F56" s="52"/>
      <c r="G56" s="52"/>
      <c r="H56" s="52"/>
      <c r="I56" s="52"/>
      <c r="J56" s="102"/>
      <c r="K56" s="102"/>
      <c r="L56" s="102"/>
      <c r="M56" s="102"/>
      <c r="N56" s="53"/>
      <c r="O56" s="53"/>
      <c r="P56" s="53"/>
      <c r="Q56" s="53"/>
      <c r="R56" s="53"/>
      <c r="S56" s="53"/>
      <c r="T56" s="49"/>
      <c r="U56" s="53"/>
      <c r="V56" s="58"/>
      <c r="W56" s="111"/>
      <c r="X56" s="112"/>
    </row>
    <row r="57" spans="1:24" s="54" customFormat="1" ht="16.8" x14ac:dyDescent="0.3">
      <c r="A57" s="200" t="s">
        <v>85</v>
      </c>
      <c r="B57" s="200"/>
      <c r="C57" s="200"/>
      <c r="D57" s="52"/>
      <c r="E57" s="52"/>
      <c r="F57" s="52"/>
      <c r="G57" s="52"/>
      <c r="H57" s="52"/>
      <c r="I57" s="52"/>
      <c r="J57" s="102"/>
      <c r="K57" s="102"/>
      <c r="L57" s="102"/>
      <c r="M57" s="102"/>
      <c r="N57" s="190" t="s">
        <v>65</v>
      </c>
      <c r="O57" s="190"/>
      <c r="P57" s="190"/>
      <c r="Q57" s="190"/>
      <c r="R57" s="190"/>
      <c r="S57" s="190"/>
      <c r="T57" s="190"/>
      <c r="U57" s="190"/>
      <c r="V57" s="91"/>
      <c r="W57" s="113"/>
      <c r="X57" s="112"/>
    </row>
    <row r="58" spans="1:24" s="54" customFormat="1" ht="26.4" x14ac:dyDescent="0.3">
      <c r="A58" s="52"/>
      <c r="B58" s="52"/>
      <c r="C58" s="52"/>
      <c r="D58" s="52"/>
      <c r="E58" s="52"/>
      <c r="F58" s="52"/>
      <c r="G58" s="52"/>
      <c r="H58" s="52"/>
      <c r="I58" s="52"/>
      <c r="J58" s="102"/>
      <c r="K58" s="102"/>
      <c r="L58" s="102"/>
      <c r="M58" s="103"/>
      <c r="N58" s="100" t="s">
        <v>4</v>
      </c>
      <c r="O58" s="100" t="s">
        <v>45</v>
      </c>
      <c r="P58" s="100" t="s">
        <v>5</v>
      </c>
      <c r="Q58" s="100" t="s">
        <v>59</v>
      </c>
      <c r="R58" s="100" t="s">
        <v>102</v>
      </c>
      <c r="S58" s="100" t="s">
        <v>103</v>
      </c>
      <c r="T58" s="100" t="s">
        <v>104</v>
      </c>
      <c r="U58" s="104" t="s">
        <v>10</v>
      </c>
      <c r="V58" s="105" t="s">
        <v>66</v>
      </c>
    </row>
    <row r="59" spans="1:24" s="54" customFormat="1" ht="13.2" x14ac:dyDescent="0.3">
      <c r="J59" s="97"/>
      <c r="K59" s="97"/>
      <c r="L59" s="97"/>
      <c r="M59" s="119" t="s">
        <v>147</v>
      </c>
      <c r="N59" s="121">
        <f>+N53</f>
        <v>1190669.0019999999</v>
      </c>
      <c r="O59" s="127">
        <v>0</v>
      </c>
      <c r="P59" s="127">
        <v>87500</v>
      </c>
      <c r="Q59" s="121">
        <f>+Q53</f>
        <v>114996.12999999989</v>
      </c>
      <c r="R59" s="121">
        <v>0</v>
      </c>
      <c r="S59" s="121">
        <f>+S53</f>
        <v>124205</v>
      </c>
      <c r="T59" s="121">
        <v>0</v>
      </c>
      <c r="U59" s="128">
        <f>SUM(Table6[[#This Row],[HSIP]:[TA OVER 200K]])</f>
        <v>1517370.1319999998</v>
      </c>
      <c r="V59" s="122">
        <v>0</v>
      </c>
    </row>
    <row r="60" spans="1:24" s="54" customFormat="1" ht="13.2" x14ac:dyDescent="0.3">
      <c r="J60" s="97"/>
      <c r="K60" s="97"/>
      <c r="L60" s="97"/>
      <c r="M60" s="119" t="s">
        <v>148</v>
      </c>
      <c r="N60" s="123">
        <f>SUMIFS(Table_Query_from_MS_Access_Database[[#All],[HSIP]],Table_Query_from_MS_Access_Database[[#All],[Transaction Year]],"2015",Table_Query_from_MS_Access_Database[[#All],[Transaction Type]],"Lapsing")</f>
        <v>0</v>
      </c>
      <c r="O60" s="123">
        <f>SUMIFS(Table_Query_from_MS_Access_Database[[#All],[PL]],Table_Query_from_MS_Access_Database[[#All],[Transaction Year]],"2015",Table_Query_from_MS_Access_Database[[#All],[Transaction Type]],"Lapsing")</f>
        <v>0</v>
      </c>
      <c r="P60" s="123">
        <f>SUMIFS(Table_Query_from_MS_Access_Database[[#All],[SPR]],Table_Query_from_MS_Access_Database[[#All],[Transaction Year]],"2015",Table_Query_from_MS_Access_Database[[#All],[Transaction Type]],"Lapsing")</f>
        <v>0</v>
      </c>
      <c r="Q60" s="123">
        <f>SUMIFS(Table_Query_from_MS_Access_Database[[#All],[STP other]],Table_Query_from_MS_Access_Database[[#All],[Transaction Year]],"2015",Table_Query_from_MS_Access_Database[[#All],[Transaction Type]],"Lapsing")</f>
        <v>0</v>
      </c>
      <c r="R60" s="123">
        <v>0</v>
      </c>
      <c r="S60" s="123">
        <f>SUMIFS(Table_Query_from_MS_Access_Database[[#All],[TA other]],Table_Query_from_MS_Access_Database[[#All],[Transaction Year]],"2015",Table_Query_from_MS_Access_Database[[#All],[Transaction Type]],"Lapsing")</f>
        <v>0</v>
      </c>
      <c r="T60" s="123">
        <v>0</v>
      </c>
      <c r="U60" s="129">
        <f>SUM(Table6[[#This Row],[HSIP]:[TA OVER 200K]])</f>
        <v>0</v>
      </c>
      <c r="V60" s="123">
        <f>SUMIFS(Table_Query_from_MS_Access_Database_16[[#All],[Total]],Table_Query_from_MS_Access_Database_16[[#All],[Transaction Year]],"2015",Table_Query_from_MS_Access_Database_16[[#All],[Transaction Type]],"Lapsing")</f>
        <v>0</v>
      </c>
    </row>
    <row r="61" spans="1:24" s="54" customFormat="1" ht="13.2" x14ac:dyDescent="0.3">
      <c r="J61" s="97"/>
      <c r="K61" s="97"/>
      <c r="L61" s="97"/>
      <c r="M61" s="119" t="s">
        <v>149</v>
      </c>
      <c r="N61" s="124">
        <f>SUBTOTAL(109,N59:N60)</f>
        <v>1190669.0019999999</v>
      </c>
      <c r="O61" s="121">
        <f>SUBTOTAL(109,O59:O60)</f>
        <v>0</v>
      </c>
      <c r="P61" s="121">
        <f>SUBTOTAL(109,P59:P60)</f>
        <v>87500</v>
      </c>
      <c r="Q61" s="121">
        <f>SUBTOTAL(109,Q59:Q60)</f>
        <v>114996.12999999989</v>
      </c>
      <c r="R61" s="121">
        <f>SUBTOTAL(109,R59:R60)</f>
        <v>0</v>
      </c>
      <c r="S61" s="121">
        <f t="shared" ref="S61:V61" si="4">SUBTOTAL(109,S59:S60)</f>
        <v>124205</v>
      </c>
      <c r="T61" s="121">
        <f t="shared" si="4"/>
        <v>0</v>
      </c>
      <c r="U61" s="121">
        <f t="shared" si="4"/>
        <v>1517370.1319999998</v>
      </c>
      <c r="V61" s="121">
        <v>0</v>
      </c>
      <c r="W61" s="58"/>
      <c r="X61" s="133"/>
    </row>
    <row r="62" spans="1:24" s="54" customFormat="1" ht="13.2" x14ac:dyDescent="0.3">
      <c r="J62" s="97"/>
      <c r="K62" s="97"/>
      <c r="L62" s="97"/>
      <c r="M62" s="120" t="s">
        <v>150</v>
      </c>
      <c r="N62" s="125">
        <v>0</v>
      </c>
      <c r="O62" s="125">
        <v>0</v>
      </c>
      <c r="P62" s="125">
        <v>0</v>
      </c>
      <c r="Q62" s="125">
        <v>0</v>
      </c>
      <c r="R62" s="125">
        <f t="shared" ref="R62:T62" si="5">+R53-R61</f>
        <v>135428.61502575316</v>
      </c>
      <c r="S62" s="125">
        <v>0</v>
      </c>
      <c r="T62" s="125">
        <f t="shared" si="5"/>
        <v>329299.84000000008</v>
      </c>
      <c r="U62" s="121">
        <f>+SUM(Table6[[#This Row],[HSIP]:[TA OVER 200K]])</f>
        <v>464728.45502575324</v>
      </c>
      <c r="V62" s="126">
        <v>5104</v>
      </c>
      <c r="W62" s="111"/>
    </row>
    <row r="63" spans="1:24" s="54" customFormat="1" x14ac:dyDescent="0.3">
      <c r="A63" s="52"/>
      <c r="B63" s="52"/>
      <c r="C63" s="52"/>
      <c r="D63" s="52"/>
      <c r="E63" s="52"/>
      <c r="F63" s="52"/>
      <c r="G63" s="52"/>
      <c r="H63" s="52"/>
      <c r="I63" s="52"/>
      <c r="J63" s="78"/>
      <c r="K63" s="78"/>
      <c r="L63" s="78"/>
      <c r="M63" s="78"/>
      <c r="N63" s="53"/>
      <c r="O63" s="53"/>
      <c r="P63" s="53"/>
      <c r="Q63" s="53"/>
      <c r="R63" s="53"/>
      <c r="S63" s="53"/>
      <c r="T63" s="53"/>
      <c r="U63" s="50"/>
      <c r="V63" s="58"/>
      <c r="W63" s="111"/>
    </row>
    <row r="64" spans="1:24" s="54" customFormat="1" x14ac:dyDescent="0.3">
      <c r="A64" s="33"/>
      <c r="B64" s="33"/>
      <c r="C64" s="33"/>
      <c r="D64" s="33"/>
      <c r="E64" s="33"/>
      <c r="F64" s="33"/>
      <c r="G64" s="33"/>
      <c r="H64" s="33"/>
      <c r="I64" s="33"/>
      <c r="J64" s="77"/>
      <c r="K64" s="77"/>
      <c r="L64" s="77"/>
      <c r="M64" s="77"/>
      <c r="N64" s="35"/>
      <c r="O64" s="35"/>
      <c r="P64" s="35"/>
      <c r="Q64" s="35"/>
      <c r="R64" s="35"/>
      <c r="S64" s="35"/>
      <c r="T64" s="35"/>
      <c r="U64" s="35"/>
      <c r="V64" s="53"/>
      <c r="W64" s="111"/>
    </row>
    <row r="65" spans="1:24" s="52" customFormat="1" x14ac:dyDescent="0.3">
      <c r="A65" s="33"/>
      <c r="B65" s="33"/>
      <c r="C65" s="33"/>
      <c r="D65" s="33"/>
      <c r="E65" s="33"/>
      <c r="F65" s="33"/>
      <c r="G65" s="33"/>
      <c r="H65" s="33"/>
      <c r="I65" s="33"/>
      <c r="J65" s="77"/>
      <c r="K65" s="77"/>
      <c r="L65" s="77"/>
      <c r="M65" s="77"/>
      <c r="N65" s="35"/>
      <c r="O65" s="35"/>
      <c r="P65" s="35"/>
      <c r="Q65" s="35"/>
      <c r="R65" s="35"/>
      <c r="S65" s="35"/>
      <c r="T65" s="35"/>
      <c r="U65" s="35"/>
      <c r="V65" s="53"/>
      <c r="W65" s="51"/>
    </row>
    <row r="66" spans="1:24" s="52" customFormat="1" x14ac:dyDescent="0.3">
      <c r="A66" s="33"/>
      <c r="B66" s="33"/>
      <c r="C66" s="33"/>
      <c r="D66" s="33"/>
      <c r="E66" s="33"/>
      <c r="F66" s="33"/>
      <c r="G66" s="33"/>
      <c r="H66" s="33"/>
      <c r="I66" s="33"/>
      <c r="J66" s="77"/>
      <c r="K66" s="77"/>
      <c r="L66" s="77"/>
      <c r="M66" s="77"/>
      <c r="N66" s="35"/>
      <c r="O66" s="35"/>
      <c r="P66" s="35"/>
      <c r="Q66" s="35"/>
      <c r="R66" s="35"/>
      <c r="S66" s="35"/>
      <c r="T66" s="35"/>
      <c r="U66" s="35"/>
      <c r="V66" s="35"/>
      <c r="W66" s="53"/>
      <c r="X66" s="40"/>
    </row>
    <row r="67" spans="1:24" s="52" customFormat="1" x14ac:dyDescent="0.3">
      <c r="A67" s="33"/>
      <c r="B67" s="33"/>
      <c r="C67" s="33"/>
      <c r="D67" s="33"/>
      <c r="E67" s="33"/>
      <c r="F67" s="33"/>
      <c r="G67" s="33"/>
      <c r="H67" s="33"/>
      <c r="I67" s="33"/>
      <c r="J67" s="77"/>
      <c r="K67" s="77"/>
      <c r="L67" s="77"/>
      <c r="M67" s="77"/>
      <c r="N67" s="35"/>
      <c r="O67" s="35"/>
      <c r="P67" s="35"/>
      <c r="Q67" s="35"/>
      <c r="R67" s="35"/>
      <c r="S67" s="35"/>
      <c r="T67" s="35"/>
      <c r="U67" s="35"/>
      <c r="V67" s="35"/>
      <c r="W67" s="53"/>
      <c r="X67" s="40"/>
    </row>
    <row r="68" spans="1:24" s="54" customFormat="1" x14ac:dyDescent="0.3">
      <c r="A68" s="33"/>
      <c r="B68" s="33"/>
      <c r="C68" s="33"/>
      <c r="D68" s="33"/>
      <c r="E68" s="33"/>
      <c r="F68" s="33"/>
      <c r="G68" s="33"/>
      <c r="H68" s="33"/>
      <c r="I68" s="33"/>
      <c r="J68" s="77"/>
      <c r="K68" s="77"/>
      <c r="L68" s="77"/>
      <c r="M68" s="77"/>
      <c r="N68" s="35"/>
      <c r="O68" s="35"/>
      <c r="P68" s="35"/>
      <c r="Q68" s="35"/>
      <c r="R68" s="35"/>
      <c r="S68" s="35"/>
      <c r="T68" s="35"/>
      <c r="U68" s="35"/>
      <c r="V68" s="35"/>
      <c r="W68" s="58"/>
    </row>
    <row r="69" spans="1:24" s="54" customFormat="1" x14ac:dyDescent="0.3">
      <c r="A69" s="33"/>
      <c r="B69" s="33"/>
      <c r="C69" s="33"/>
      <c r="D69" s="33"/>
      <c r="E69" s="33"/>
      <c r="F69" s="33"/>
      <c r="G69" s="33"/>
      <c r="H69" s="33"/>
      <c r="I69" s="33"/>
      <c r="J69" s="77"/>
      <c r="K69" s="77"/>
      <c r="L69" s="77"/>
      <c r="M69" s="77"/>
      <c r="N69" s="35"/>
      <c r="O69" s="35"/>
      <c r="P69" s="35"/>
      <c r="Q69" s="35"/>
      <c r="R69" s="35"/>
      <c r="S69" s="35"/>
      <c r="T69" s="35"/>
      <c r="U69" s="35"/>
      <c r="V69" s="35"/>
      <c r="W69" s="58"/>
    </row>
    <row r="70" spans="1:24" s="54" customFormat="1" x14ac:dyDescent="0.3">
      <c r="A70" s="33"/>
      <c r="B70" s="33"/>
      <c r="C70" s="33"/>
      <c r="D70" s="33"/>
      <c r="E70" s="33"/>
      <c r="F70" s="33"/>
      <c r="G70" s="33"/>
      <c r="H70" s="33"/>
      <c r="I70" s="33"/>
      <c r="J70" s="77"/>
      <c r="K70" s="77"/>
      <c r="L70" s="77"/>
      <c r="M70" s="77"/>
      <c r="N70" s="35"/>
      <c r="O70" s="35"/>
      <c r="P70" s="35"/>
      <c r="Q70" s="35"/>
      <c r="R70" s="35"/>
      <c r="S70" s="35"/>
      <c r="T70" s="35"/>
      <c r="U70" s="35"/>
      <c r="V70" s="35"/>
      <c r="W70" s="58"/>
    </row>
    <row r="71" spans="1:24" s="52" customFormat="1" x14ac:dyDescent="0.3">
      <c r="A71" s="33"/>
      <c r="B71" s="33"/>
      <c r="C71" s="33"/>
      <c r="D71" s="33"/>
      <c r="E71" s="33"/>
      <c r="F71" s="33"/>
      <c r="G71" s="33"/>
      <c r="H71" s="33"/>
      <c r="I71" s="33"/>
      <c r="J71" s="77"/>
      <c r="K71" s="77"/>
      <c r="L71" s="77"/>
      <c r="M71" s="77"/>
      <c r="N71" s="35"/>
      <c r="O71" s="35"/>
      <c r="P71" s="35"/>
      <c r="Q71" s="35"/>
      <c r="R71" s="35"/>
      <c r="S71" s="35"/>
      <c r="T71" s="35"/>
      <c r="U71" s="35"/>
      <c r="V71" s="35"/>
      <c r="W71" s="53"/>
    </row>
  </sheetData>
  <sheetProtection autoFilter="0"/>
  <mergeCells count="12">
    <mergeCell ref="A49:D49"/>
    <mergeCell ref="N2:U2"/>
    <mergeCell ref="N57:U57"/>
    <mergeCell ref="N1:V1"/>
    <mergeCell ref="A1:F1"/>
    <mergeCell ref="A15:D15"/>
    <mergeCell ref="A10:L10"/>
    <mergeCell ref="A3:D3"/>
    <mergeCell ref="A4:D4"/>
    <mergeCell ref="J15:M15"/>
    <mergeCell ref="A6:B6"/>
    <mergeCell ref="A57:C57"/>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48"/>
  <sheetViews>
    <sheetView zoomScale="90" zoomScaleNormal="90" workbookViewId="0">
      <selection sqref="A1:F1"/>
    </sheetView>
  </sheetViews>
  <sheetFormatPr defaultColWidth="19.6640625" defaultRowHeight="14.4" x14ac:dyDescent="0.3"/>
  <cols>
    <col min="1" max="1" width="19.33203125" style="25" customWidth="1"/>
    <col min="2" max="2" width="19.6640625" style="25" customWidth="1"/>
    <col min="3" max="3" width="24" style="25" customWidth="1"/>
    <col min="4" max="4" width="19.44140625" style="25" customWidth="1"/>
    <col min="5" max="5" width="14.6640625" style="25" customWidth="1"/>
    <col min="6" max="6" width="10.44140625" style="25" customWidth="1"/>
    <col min="7" max="7" width="14.21875" style="25" customWidth="1"/>
    <col min="8" max="8" width="12.88671875" style="26" customWidth="1"/>
    <col min="9" max="9" width="6.77734375" style="25" customWidth="1"/>
    <col min="10" max="10" width="11.77734375" style="25" customWidth="1"/>
    <col min="11" max="11" width="14.6640625" style="25" customWidth="1"/>
    <col min="12" max="12" width="17.44140625" style="25" customWidth="1"/>
    <col min="13" max="13" width="12.88671875" style="25" customWidth="1"/>
    <col min="14" max="14" width="16.44140625" style="25" customWidth="1"/>
    <col min="15" max="15" width="9.33203125" style="25" customWidth="1"/>
    <col min="16" max="16" width="7.21875" style="25" customWidth="1"/>
    <col min="17" max="17" width="12.109375" style="25" customWidth="1"/>
    <col min="18" max="18" width="59.3320312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201" t="str">
        <f>+'Federal Funds Transactions'!A1:F1</f>
        <v>Pima Association of Goverments</v>
      </c>
      <c r="B1" s="201"/>
      <c r="C1" s="201"/>
      <c r="D1" s="201"/>
      <c r="E1" s="201"/>
      <c r="F1" s="201"/>
    </row>
    <row r="2" spans="1:26" x14ac:dyDescent="0.35">
      <c r="A2" s="27"/>
      <c r="B2" s="27"/>
      <c r="C2" s="27"/>
      <c r="D2" s="27"/>
      <c r="E2" s="27"/>
      <c r="F2" s="27"/>
    </row>
    <row r="3" spans="1:26" x14ac:dyDescent="0.35">
      <c r="A3" s="202" t="s">
        <v>91</v>
      </c>
      <c r="B3" s="202"/>
      <c r="C3" s="202"/>
      <c r="D3" s="202"/>
      <c r="E3" s="202"/>
      <c r="F3" s="202"/>
    </row>
    <row r="4" spans="1:26" x14ac:dyDescent="0.35">
      <c r="A4" s="28"/>
      <c r="B4" s="28"/>
      <c r="C4" s="28"/>
      <c r="D4" s="28"/>
      <c r="E4" s="28"/>
      <c r="F4" s="28"/>
    </row>
    <row r="5" spans="1:26" x14ac:dyDescent="0.35">
      <c r="A5" s="25" t="s">
        <v>90</v>
      </c>
      <c r="B5" s="67">
        <f>+'Federal Funds Transactions'!C6</f>
        <v>42643</v>
      </c>
      <c r="C5" s="27"/>
      <c r="D5" s="27"/>
      <c r="E5" s="27"/>
      <c r="F5" s="27"/>
    </row>
    <row r="6" spans="1:26" x14ac:dyDescent="0.35">
      <c r="A6" s="27"/>
      <c r="B6" s="27"/>
      <c r="C6" s="27"/>
      <c r="D6" s="27"/>
      <c r="E6" s="27"/>
      <c r="F6" s="27"/>
    </row>
    <row r="7" spans="1:26" ht="15" customHeight="1" x14ac:dyDescent="0.35">
      <c r="A7" s="205" t="str">
        <f>+'Federal Funds Transactions'!A10:L10</f>
        <v>IMPORTANT! Please review the information in the Notes tab for further explanation of the data in this document.</v>
      </c>
      <c r="B7" s="205"/>
      <c r="C7" s="205"/>
      <c r="D7" s="205"/>
      <c r="E7" s="205"/>
      <c r="F7" s="205"/>
      <c r="G7" s="205"/>
      <c r="H7" s="205"/>
    </row>
    <row r="9" spans="1:26" ht="15.75" customHeight="1" x14ac:dyDescent="0.3">
      <c r="A9" s="203" t="s">
        <v>87</v>
      </c>
      <c r="B9" s="203"/>
      <c r="C9" s="203"/>
      <c r="D9" s="203"/>
      <c r="E9" s="203"/>
      <c r="F9" s="203"/>
      <c r="G9" s="203"/>
      <c r="M9" s="29"/>
      <c r="N9" s="29"/>
      <c r="O9" s="29"/>
      <c r="P9" s="29"/>
      <c r="Q9" s="29"/>
      <c r="R9" s="29"/>
      <c r="S9" s="29"/>
      <c r="T9" s="29"/>
      <c r="U9" s="29"/>
      <c r="V9" s="29"/>
      <c r="W9" s="29"/>
      <c r="X9" s="29"/>
    </row>
    <row r="10" spans="1:2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73" t="s">
        <v>49</v>
      </c>
      <c r="B11" s="74" t="s">
        <v>50</v>
      </c>
      <c r="C11" s="74" t="s">
        <v>13</v>
      </c>
      <c r="D11" s="74" t="s">
        <v>51</v>
      </c>
      <c r="E11" s="74" t="s">
        <v>10</v>
      </c>
      <c r="F11" s="74" t="s">
        <v>43</v>
      </c>
      <c r="G11" s="74" t="s">
        <v>44</v>
      </c>
      <c r="H11" s="74" t="s">
        <v>4</v>
      </c>
      <c r="I11" s="74" t="s">
        <v>45</v>
      </c>
      <c r="J11" s="74" t="s">
        <v>5</v>
      </c>
      <c r="K11" s="74" t="s">
        <v>6</v>
      </c>
      <c r="L11" s="74" t="s">
        <v>46</v>
      </c>
      <c r="M11" s="74" t="s">
        <v>47</v>
      </c>
      <c r="N11" s="74" t="s">
        <v>48</v>
      </c>
      <c r="O11" s="74" t="s">
        <v>97</v>
      </c>
      <c r="P11" s="74" t="s">
        <v>98</v>
      </c>
      <c r="Q11" s="74" t="s">
        <v>99</v>
      </c>
      <c r="R11" s="75" t="s">
        <v>100</v>
      </c>
      <c r="S11" s="31"/>
      <c r="T11" s="31"/>
      <c r="U11" s="31"/>
      <c r="V11" s="31"/>
      <c r="W11" s="9"/>
      <c r="X11" s="9"/>
      <c r="Y11" s="9"/>
      <c r="Z11" s="9"/>
    </row>
    <row r="12" spans="1:26" x14ac:dyDescent="0.3">
      <c r="A12" s="61" t="s">
        <v>108</v>
      </c>
      <c r="B12" s="59" t="s">
        <v>106</v>
      </c>
      <c r="C12" s="59" t="s">
        <v>109</v>
      </c>
      <c r="D12" s="59" t="s">
        <v>108</v>
      </c>
      <c r="E12" s="59">
        <v>4282925</v>
      </c>
      <c r="F12" s="59"/>
      <c r="G12" s="59"/>
      <c r="H12" s="59"/>
      <c r="I12" s="59"/>
      <c r="J12" s="59"/>
      <c r="K12" s="59"/>
      <c r="L12" s="59">
        <v>4282925</v>
      </c>
      <c r="M12" s="59"/>
      <c r="N12" s="59"/>
      <c r="O12" s="60" t="s">
        <v>105</v>
      </c>
      <c r="P12" s="60" t="s">
        <v>110</v>
      </c>
      <c r="Q12" s="60"/>
      <c r="R12" s="63" t="s">
        <v>111</v>
      </c>
      <c r="S12" s="72"/>
      <c r="T12" s="72"/>
      <c r="U12" s="72"/>
      <c r="V12" s="72"/>
      <c r="W12" s="9"/>
      <c r="X12" s="9"/>
      <c r="Y12" s="9"/>
      <c r="Z12" s="9"/>
    </row>
    <row r="13" spans="1:26" x14ac:dyDescent="0.3">
      <c r="A13" s="62" t="s">
        <v>108</v>
      </c>
      <c r="B13" s="60" t="s">
        <v>106</v>
      </c>
      <c r="C13" s="60" t="s">
        <v>112</v>
      </c>
      <c r="D13" s="60" t="s">
        <v>108</v>
      </c>
      <c r="E13" s="60">
        <v>496655</v>
      </c>
      <c r="F13" s="60"/>
      <c r="G13" s="60"/>
      <c r="H13" s="60"/>
      <c r="I13" s="60"/>
      <c r="J13" s="60"/>
      <c r="K13" s="60"/>
      <c r="L13" s="60">
        <v>496655</v>
      </c>
      <c r="M13" s="60"/>
      <c r="N13" s="60"/>
      <c r="O13" s="60" t="s">
        <v>105</v>
      </c>
      <c r="P13" s="60" t="s">
        <v>110</v>
      </c>
      <c r="Q13" s="60"/>
      <c r="R13" s="63" t="s">
        <v>113</v>
      </c>
      <c r="S13" s="72"/>
      <c r="T13" s="72"/>
      <c r="U13" s="72"/>
      <c r="V13" s="72"/>
      <c r="W13" s="9"/>
      <c r="X13" s="9"/>
      <c r="Y13" s="9"/>
      <c r="Z13" s="9"/>
    </row>
    <row r="14" spans="1:26" x14ac:dyDescent="0.3">
      <c r="A14" s="62" t="s">
        <v>108</v>
      </c>
      <c r="B14" s="60" t="s">
        <v>106</v>
      </c>
      <c r="C14" s="60" t="s">
        <v>114</v>
      </c>
      <c r="D14" s="60" t="s">
        <v>115</v>
      </c>
      <c r="E14" s="60">
        <v>6475197</v>
      </c>
      <c r="F14" s="60"/>
      <c r="G14" s="60"/>
      <c r="H14" s="60"/>
      <c r="I14" s="60"/>
      <c r="J14" s="60"/>
      <c r="K14" s="60"/>
      <c r="L14" s="60">
        <v>6475197</v>
      </c>
      <c r="M14" s="60"/>
      <c r="N14" s="60"/>
      <c r="O14" s="60" t="s">
        <v>105</v>
      </c>
      <c r="P14" s="60" t="s">
        <v>110</v>
      </c>
      <c r="Q14" s="60" t="s">
        <v>116</v>
      </c>
      <c r="R14" s="63" t="s">
        <v>117</v>
      </c>
      <c r="S14" s="72"/>
      <c r="T14" s="72"/>
      <c r="U14" s="72"/>
      <c r="V14" s="72"/>
      <c r="W14" s="9"/>
      <c r="X14" s="9"/>
      <c r="Y14" s="9"/>
      <c r="Z14" s="9"/>
    </row>
    <row r="15" spans="1:26" x14ac:dyDescent="0.3">
      <c r="A15" s="62" t="s">
        <v>115</v>
      </c>
      <c r="B15" s="60" t="s">
        <v>93</v>
      </c>
      <c r="C15" s="60" t="s">
        <v>118</v>
      </c>
      <c r="D15" s="60" t="s">
        <v>115</v>
      </c>
      <c r="E15" s="60">
        <v>-2739783.7</v>
      </c>
      <c r="F15" s="60"/>
      <c r="G15" s="60"/>
      <c r="H15" s="60"/>
      <c r="I15" s="60"/>
      <c r="J15" s="60"/>
      <c r="K15" s="60"/>
      <c r="L15" s="60">
        <v>-2739783.7</v>
      </c>
      <c r="M15" s="60"/>
      <c r="N15" s="60"/>
      <c r="O15" s="60" t="s">
        <v>110</v>
      </c>
      <c r="P15" s="60" t="s">
        <v>105</v>
      </c>
      <c r="Q15" s="60"/>
      <c r="R15" s="63" t="s">
        <v>119</v>
      </c>
      <c r="S15" s="72"/>
      <c r="T15" s="72"/>
      <c r="U15" s="72"/>
      <c r="V15" s="72"/>
      <c r="W15" s="9"/>
      <c r="X15" s="9"/>
      <c r="Y15" s="9"/>
      <c r="Z15" s="9"/>
    </row>
    <row r="16" spans="1:26" x14ac:dyDescent="0.3">
      <c r="A16" s="62" t="s">
        <v>115</v>
      </c>
      <c r="B16" s="60" t="s">
        <v>93</v>
      </c>
      <c r="C16" s="60" t="s">
        <v>118</v>
      </c>
      <c r="D16" s="60" t="s">
        <v>115</v>
      </c>
      <c r="E16" s="60">
        <v>-9957472</v>
      </c>
      <c r="F16" s="60"/>
      <c r="G16" s="60"/>
      <c r="H16" s="60"/>
      <c r="I16" s="60"/>
      <c r="J16" s="60"/>
      <c r="K16" s="60"/>
      <c r="L16" s="60">
        <v>-9957472</v>
      </c>
      <c r="M16" s="60"/>
      <c r="N16" s="60"/>
      <c r="O16" s="60" t="s">
        <v>110</v>
      </c>
      <c r="P16" s="60" t="s">
        <v>105</v>
      </c>
      <c r="Q16" s="60"/>
      <c r="R16" s="63" t="s">
        <v>120</v>
      </c>
      <c r="S16" s="72"/>
      <c r="T16" s="72"/>
      <c r="U16" s="72"/>
      <c r="V16" s="72"/>
      <c r="W16" s="9"/>
      <c r="X16" s="9"/>
      <c r="Y16" s="9"/>
      <c r="Z16" s="9"/>
    </row>
    <row r="17" spans="1:26" x14ac:dyDescent="0.3">
      <c r="A17" s="64" t="s">
        <v>115</v>
      </c>
      <c r="B17" s="65" t="s">
        <v>93</v>
      </c>
      <c r="C17" s="65" t="s">
        <v>112</v>
      </c>
      <c r="D17" s="65" t="s">
        <v>108</v>
      </c>
      <c r="E17" s="65">
        <v>-496655</v>
      </c>
      <c r="F17" s="65"/>
      <c r="G17" s="65"/>
      <c r="H17" s="65"/>
      <c r="I17" s="65"/>
      <c r="J17" s="65"/>
      <c r="K17" s="65"/>
      <c r="L17" s="65">
        <v>-496655</v>
      </c>
      <c r="M17" s="65"/>
      <c r="N17" s="65"/>
      <c r="O17" s="65" t="s">
        <v>110</v>
      </c>
      <c r="P17" s="65" t="s">
        <v>105</v>
      </c>
      <c r="Q17" s="65"/>
      <c r="R17" s="66" t="s">
        <v>121</v>
      </c>
      <c r="S17" s="72"/>
      <c r="T17" s="72"/>
      <c r="U17" s="72"/>
      <c r="V17" s="72"/>
      <c r="W17" s="9"/>
      <c r="X17" s="9"/>
      <c r="Y17" s="9"/>
      <c r="Z17" s="9"/>
    </row>
    <row r="18" spans="1:26" x14ac:dyDescent="0.3">
      <c r="A18" s="116" t="s">
        <v>130</v>
      </c>
      <c r="B18" s="117" t="s">
        <v>131</v>
      </c>
      <c r="C18" s="117" t="s">
        <v>132</v>
      </c>
      <c r="D18" s="117" t="s">
        <v>133</v>
      </c>
      <c r="E18" s="117">
        <v>-7432121</v>
      </c>
      <c r="F18" s="117"/>
      <c r="G18" s="117"/>
      <c r="H18" s="117">
        <v>-687045</v>
      </c>
      <c r="I18" s="117"/>
      <c r="J18" s="117">
        <v>-87500</v>
      </c>
      <c r="K18" s="117">
        <v>-6383937</v>
      </c>
      <c r="L18" s="117"/>
      <c r="M18" s="117">
        <v>-273639</v>
      </c>
      <c r="N18" s="117"/>
      <c r="O18" s="117" t="s">
        <v>110</v>
      </c>
      <c r="P18" s="117" t="s">
        <v>105</v>
      </c>
      <c r="Q18" s="117"/>
      <c r="R18" s="118" t="s">
        <v>134</v>
      </c>
      <c r="S18" s="72"/>
      <c r="T18" s="72"/>
      <c r="U18" s="72"/>
      <c r="V18" s="72"/>
    </row>
    <row r="19" spans="1:26" x14ac:dyDescent="0.3">
      <c r="A19" s="139" t="s">
        <v>136</v>
      </c>
      <c r="B19" s="140" t="s">
        <v>141</v>
      </c>
      <c r="C19" s="140" t="s">
        <v>142</v>
      </c>
      <c r="D19" s="140" t="s">
        <v>143</v>
      </c>
      <c r="E19" s="140">
        <v>-846000</v>
      </c>
      <c r="F19" s="140"/>
      <c r="G19" s="140"/>
      <c r="H19" s="140">
        <v>-846000</v>
      </c>
      <c r="I19" s="140"/>
      <c r="J19" s="140"/>
      <c r="K19" s="140"/>
      <c r="L19" s="140"/>
      <c r="M19" s="140"/>
      <c r="N19" s="140"/>
      <c r="O19" s="140" t="s">
        <v>110</v>
      </c>
      <c r="P19" s="140" t="s">
        <v>105</v>
      </c>
      <c r="Q19" s="140"/>
      <c r="R19" s="141" t="s">
        <v>144</v>
      </c>
      <c r="S19" s="72"/>
      <c r="T19" s="72"/>
      <c r="U19" s="72"/>
      <c r="V19" s="72"/>
    </row>
    <row r="20" spans="1:26" x14ac:dyDescent="0.3">
      <c r="A20" s="142" t="s">
        <v>235</v>
      </c>
      <c r="B20" s="143" t="s">
        <v>141</v>
      </c>
      <c r="C20" s="143" t="s">
        <v>242</v>
      </c>
      <c r="D20" s="143" t="s">
        <v>143</v>
      </c>
      <c r="E20" s="143">
        <v>-2850000</v>
      </c>
      <c r="F20" s="143"/>
      <c r="G20" s="143"/>
      <c r="H20" s="143"/>
      <c r="I20" s="143"/>
      <c r="J20" s="143"/>
      <c r="K20" s="143">
        <v>-2850000</v>
      </c>
      <c r="L20" s="143"/>
      <c r="M20" s="143"/>
      <c r="N20" s="143"/>
      <c r="O20" s="143" t="s">
        <v>110</v>
      </c>
      <c r="P20" s="143" t="s">
        <v>105</v>
      </c>
      <c r="Q20" s="143"/>
      <c r="R20" s="144" t="s">
        <v>236</v>
      </c>
      <c r="S20" s="72"/>
      <c r="T20" s="72"/>
      <c r="U20" s="72"/>
      <c r="V20" s="72"/>
    </row>
    <row r="21" spans="1:26" x14ac:dyDescent="0.3">
      <c r="A21" s="170" t="s">
        <v>143</v>
      </c>
      <c r="B21" s="172" t="s">
        <v>145</v>
      </c>
      <c r="C21" s="172" t="s">
        <v>142</v>
      </c>
      <c r="D21" s="172" t="s">
        <v>143</v>
      </c>
      <c r="E21" s="172">
        <v>846000</v>
      </c>
      <c r="F21" s="172"/>
      <c r="G21" s="172"/>
      <c r="H21" s="172">
        <v>846000</v>
      </c>
      <c r="I21" s="172"/>
      <c r="J21" s="172"/>
      <c r="K21" s="172"/>
      <c r="L21" s="172"/>
      <c r="M21" s="172"/>
      <c r="N21" s="172"/>
      <c r="O21" s="172" t="s">
        <v>105</v>
      </c>
      <c r="P21" s="172" t="s">
        <v>110</v>
      </c>
      <c r="Q21" s="172"/>
      <c r="R21" s="174" t="s">
        <v>144</v>
      </c>
      <c r="S21" s="72"/>
      <c r="T21" s="72"/>
      <c r="U21" s="72"/>
      <c r="V21" s="72"/>
    </row>
    <row r="22" spans="1:26" x14ac:dyDescent="0.3">
      <c r="A22" s="171" t="s">
        <v>143</v>
      </c>
      <c r="B22" s="173" t="s">
        <v>145</v>
      </c>
      <c r="C22" s="173" t="s">
        <v>242</v>
      </c>
      <c r="D22" s="173" t="s">
        <v>143</v>
      </c>
      <c r="E22" s="173">
        <v>2850000</v>
      </c>
      <c r="F22" s="173"/>
      <c r="G22" s="173"/>
      <c r="H22" s="173"/>
      <c r="I22" s="173"/>
      <c r="J22" s="173"/>
      <c r="K22" s="173">
        <v>2850000</v>
      </c>
      <c r="L22" s="173"/>
      <c r="M22" s="173"/>
      <c r="N22" s="173"/>
      <c r="O22" s="173" t="s">
        <v>105</v>
      </c>
      <c r="P22" s="173" t="s">
        <v>110</v>
      </c>
      <c r="Q22" s="173"/>
      <c r="R22" s="175" t="s">
        <v>236</v>
      </c>
      <c r="S22" s="72"/>
      <c r="T22" s="72"/>
      <c r="U22" s="72"/>
      <c r="V22" s="72"/>
    </row>
    <row r="23" spans="1:26" ht="15.6" x14ac:dyDescent="0.3">
      <c r="A23" s="204" t="s">
        <v>88</v>
      </c>
      <c r="B23" s="204"/>
      <c r="C23" s="204"/>
      <c r="D23" s="204"/>
      <c r="E23" s="204"/>
      <c r="F23" s="204"/>
      <c r="G23" s="204"/>
      <c r="S23" s="72"/>
      <c r="T23" s="72"/>
      <c r="U23" s="72"/>
      <c r="V23" s="72"/>
    </row>
    <row r="25" spans="1:26" x14ac:dyDescent="0.3">
      <c r="A25" s="72" t="s">
        <v>49</v>
      </c>
      <c r="B25" s="72" t="s">
        <v>50</v>
      </c>
      <c r="C25" s="72" t="s">
        <v>13</v>
      </c>
      <c r="D25" s="72" t="s">
        <v>51</v>
      </c>
      <c r="E25" s="72" t="s">
        <v>10</v>
      </c>
      <c r="F25" s="72" t="s">
        <v>43</v>
      </c>
      <c r="G25" s="72" t="s">
        <v>44</v>
      </c>
      <c r="H25" s="72" t="s">
        <v>4</v>
      </c>
      <c r="I25" s="72" t="s">
        <v>45</v>
      </c>
      <c r="J25" s="72" t="s">
        <v>5</v>
      </c>
      <c r="K25" s="72" t="s">
        <v>6</v>
      </c>
      <c r="L25" s="72" t="s">
        <v>46</v>
      </c>
      <c r="M25" s="72" t="s">
        <v>47</v>
      </c>
      <c r="N25" s="72" t="s">
        <v>48</v>
      </c>
      <c r="O25" s="72" t="s">
        <v>97</v>
      </c>
      <c r="P25" s="72" t="s">
        <v>98</v>
      </c>
      <c r="Q25" s="72" t="s">
        <v>99</v>
      </c>
      <c r="R25" s="72" t="s">
        <v>100</v>
      </c>
    </row>
    <row r="26" spans="1:26" x14ac:dyDescent="0.3">
      <c r="A26" s="31" t="s">
        <v>108</v>
      </c>
      <c r="B26" s="31" t="s">
        <v>106</v>
      </c>
      <c r="C26" s="31" t="s">
        <v>109</v>
      </c>
      <c r="D26" s="31" t="s">
        <v>108</v>
      </c>
      <c r="E26" s="31">
        <v>1131081</v>
      </c>
      <c r="F26" s="31"/>
      <c r="G26" s="31"/>
      <c r="H26" s="31"/>
      <c r="I26" s="31"/>
      <c r="J26" s="31"/>
      <c r="K26" s="31"/>
      <c r="L26" s="31">
        <v>1131081</v>
      </c>
      <c r="M26" s="31"/>
      <c r="N26" s="31"/>
      <c r="O26" s="72" t="s">
        <v>105</v>
      </c>
      <c r="P26" s="72" t="s">
        <v>110</v>
      </c>
      <c r="Q26" s="72"/>
      <c r="R26" s="72" t="s">
        <v>111</v>
      </c>
    </row>
    <row r="27" spans="1:26" x14ac:dyDescent="0.3">
      <c r="A27" s="72" t="s">
        <v>108</v>
      </c>
      <c r="B27" s="72" t="s">
        <v>106</v>
      </c>
      <c r="C27" s="72" t="s">
        <v>114</v>
      </c>
      <c r="D27" s="72" t="s">
        <v>115</v>
      </c>
      <c r="E27" s="72">
        <v>10123696</v>
      </c>
      <c r="F27" s="72"/>
      <c r="G27" s="72"/>
      <c r="H27" s="72"/>
      <c r="I27" s="72"/>
      <c r="J27" s="72"/>
      <c r="K27" s="72"/>
      <c r="L27" s="72">
        <v>10123696</v>
      </c>
      <c r="M27" s="72"/>
      <c r="N27" s="72"/>
      <c r="O27" s="72" t="s">
        <v>105</v>
      </c>
      <c r="P27" s="72" t="s">
        <v>110</v>
      </c>
      <c r="Q27" s="72" t="s">
        <v>116</v>
      </c>
      <c r="R27" s="72" t="s">
        <v>117</v>
      </c>
    </row>
    <row r="28" spans="1:26" x14ac:dyDescent="0.3">
      <c r="A28" s="72" t="s">
        <v>115</v>
      </c>
      <c r="B28" s="72" t="s">
        <v>93</v>
      </c>
      <c r="C28" s="72" t="s">
        <v>118</v>
      </c>
      <c r="D28" s="72" t="s">
        <v>115</v>
      </c>
      <c r="E28" s="72">
        <v>-2739783.7</v>
      </c>
      <c r="F28" s="72"/>
      <c r="G28" s="72"/>
      <c r="H28" s="72"/>
      <c r="I28" s="72"/>
      <c r="J28" s="72"/>
      <c r="K28" s="72"/>
      <c r="L28" s="72">
        <v>-2739783.7</v>
      </c>
      <c r="M28" s="72"/>
      <c r="N28" s="72"/>
      <c r="O28" s="72" t="s">
        <v>110</v>
      </c>
      <c r="P28" s="72" t="s">
        <v>105</v>
      </c>
      <c r="Q28" s="72"/>
      <c r="R28" s="72" t="s">
        <v>119</v>
      </c>
    </row>
    <row r="29" spans="1:26" x14ac:dyDescent="0.3">
      <c r="A29" s="72" t="s">
        <v>115</v>
      </c>
      <c r="B29" s="72" t="s">
        <v>93</v>
      </c>
      <c r="C29" s="72" t="s">
        <v>118</v>
      </c>
      <c r="D29" s="72" t="s">
        <v>115</v>
      </c>
      <c r="E29" s="72">
        <v>-9957472</v>
      </c>
      <c r="F29" s="72"/>
      <c r="G29" s="72"/>
      <c r="H29" s="72"/>
      <c r="I29" s="72"/>
      <c r="J29" s="72"/>
      <c r="K29" s="72"/>
      <c r="L29" s="72">
        <v>-9957472</v>
      </c>
      <c r="M29" s="72"/>
      <c r="N29" s="72"/>
      <c r="O29" s="72" t="s">
        <v>110</v>
      </c>
      <c r="P29" s="72" t="s">
        <v>105</v>
      </c>
      <c r="Q29" s="72"/>
      <c r="R29" s="72" t="s">
        <v>120</v>
      </c>
      <c r="S29" s="9"/>
      <c r="T29" s="9"/>
      <c r="U29" s="9"/>
      <c r="V29" s="9"/>
      <c r="W29" s="9"/>
      <c r="X29" s="9"/>
      <c r="Y29" s="9"/>
      <c r="Z29" s="9"/>
    </row>
    <row r="30" spans="1:26" x14ac:dyDescent="0.3">
      <c r="A30" s="25" t="s">
        <v>130</v>
      </c>
      <c r="B30" s="25" t="s">
        <v>106</v>
      </c>
      <c r="C30" s="25" t="s">
        <v>135</v>
      </c>
      <c r="D30" s="25" t="s">
        <v>136</v>
      </c>
      <c r="E30" s="25">
        <v>0.02</v>
      </c>
      <c r="H30" s="25"/>
      <c r="O30" s="25" t="s">
        <v>105</v>
      </c>
      <c r="P30" s="25" t="s">
        <v>110</v>
      </c>
      <c r="R30" s="25" t="s">
        <v>137</v>
      </c>
      <c r="S30" s="9"/>
      <c r="T30" s="9"/>
      <c r="U30" s="9"/>
      <c r="V30" s="9"/>
      <c r="W30" s="9"/>
      <c r="X30" s="9"/>
      <c r="Y30" s="9"/>
      <c r="Z30" s="9"/>
    </row>
    <row r="31" spans="1:26" x14ac:dyDescent="0.3">
      <c r="A31" s="25" t="s">
        <v>136</v>
      </c>
      <c r="B31" s="25" t="s">
        <v>141</v>
      </c>
      <c r="C31" s="25" t="s">
        <v>142</v>
      </c>
      <c r="D31" s="25" t="s">
        <v>143</v>
      </c>
      <c r="E31" s="25">
        <v>-846000</v>
      </c>
      <c r="H31" s="25">
        <v>-846000</v>
      </c>
      <c r="O31" s="25" t="s">
        <v>110</v>
      </c>
      <c r="P31" s="25" t="s">
        <v>105</v>
      </c>
      <c r="R31" s="25" t="s">
        <v>144</v>
      </c>
      <c r="S31" s="9"/>
      <c r="T31" s="9"/>
      <c r="U31" s="9"/>
      <c r="V31" s="9"/>
      <c r="W31" s="9"/>
      <c r="X31" s="9"/>
      <c r="Y31" s="9"/>
      <c r="Z31" s="9"/>
    </row>
    <row r="32" spans="1:26" x14ac:dyDescent="0.3">
      <c r="A32" s="25" t="s">
        <v>136</v>
      </c>
      <c r="B32" s="25" t="s">
        <v>93</v>
      </c>
      <c r="C32" s="25" t="s">
        <v>135</v>
      </c>
      <c r="D32" s="25" t="s">
        <v>136</v>
      </c>
      <c r="E32" s="25">
        <v>-0.02</v>
      </c>
      <c r="H32" s="25"/>
      <c r="O32" s="25" t="s">
        <v>110</v>
      </c>
      <c r="P32" s="25" t="s">
        <v>105</v>
      </c>
      <c r="R32" s="25" t="s">
        <v>138</v>
      </c>
      <c r="S32" s="9"/>
      <c r="T32" s="9"/>
      <c r="U32" s="9"/>
      <c r="V32" s="9"/>
      <c r="W32" s="9"/>
      <c r="X32" s="9"/>
      <c r="Y32" s="9"/>
      <c r="Z32" s="9"/>
    </row>
    <row r="33" spans="1:26" x14ac:dyDescent="0.3">
      <c r="A33" s="25" t="s">
        <v>235</v>
      </c>
      <c r="B33" s="25" t="s">
        <v>141</v>
      </c>
      <c r="C33" s="25" t="s">
        <v>242</v>
      </c>
      <c r="D33" s="25" t="s">
        <v>143</v>
      </c>
      <c r="E33" s="25">
        <v>-2850000</v>
      </c>
      <c r="H33" s="25"/>
      <c r="K33" s="25">
        <v>-2850000</v>
      </c>
      <c r="O33" s="25" t="s">
        <v>110</v>
      </c>
      <c r="P33" s="25" t="s">
        <v>105</v>
      </c>
      <c r="R33" s="25" t="s">
        <v>236</v>
      </c>
      <c r="S33" s="9"/>
      <c r="T33" s="9"/>
      <c r="U33" s="9"/>
      <c r="V33" s="9"/>
      <c r="W33" s="9"/>
      <c r="X33" s="9"/>
      <c r="Y33" s="9"/>
      <c r="Z33" s="9"/>
    </row>
    <row r="34" spans="1:26" x14ac:dyDescent="0.3">
      <c r="A34" s="169" t="s">
        <v>143</v>
      </c>
      <c r="B34" s="169" t="s">
        <v>145</v>
      </c>
      <c r="C34" s="169" t="s">
        <v>142</v>
      </c>
      <c r="D34" s="169" t="s">
        <v>143</v>
      </c>
      <c r="E34" s="169">
        <v>846000</v>
      </c>
      <c r="F34" s="169"/>
      <c r="G34" s="169"/>
      <c r="H34" s="169">
        <v>846000</v>
      </c>
      <c r="I34" s="169"/>
      <c r="J34" s="169"/>
      <c r="K34" s="169"/>
      <c r="L34" s="169"/>
      <c r="M34" s="169"/>
      <c r="N34" s="169"/>
      <c r="O34" s="169" t="s">
        <v>105</v>
      </c>
      <c r="P34" s="169" t="s">
        <v>110</v>
      </c>
      <c r="Q34" s="169"/>
      <c r="R34" s="169" t="s">
        <v>144</v>
      </c>
      <c r="S34" s="9"/>
      <c r="T34" s="9"/>
      <c r="U34" s="9"/>
      <c r="V34" s="9"/>
      <c r="W34" s="9"/>
      <c r="X34" s="9"/>
      <c r="Y34" s="9"/>
      <c r="Z34" s="9"/>
    </row>
    <row r="35" spans="1:26" x14ac:dyDescent="0.3">
      <c r="A35" s="169" t="s">
        <v>143</v>
      </c>
      <c r="B35" s="169" t="s">
        <v>145</v>
      </c>
      <c r="C35" s="169" t="s">
        <v>242</v>
      </c>
      <c r="D35" s="169" t="s">
        <v>143</v>
      </c>
      <c r="E35" s="169">
        <v>2850000</v>
      </c>
      <c r="F35" s="169"/>
      <c r="G35" s="169"/>
      <c r="H35" s="169"/>
      <c r="I35" s="169"/>
      <c r="J35" s="169"/>
      <c r="K35" s="169">
        <v>2850000</v>
      </c>
      <c r="L35" s="169"/>
      <c r="M35" s="169"/>
      <c r="N35" s="169"/>
      <c r="O35" s="169" t="s">
        <v>105</v>
      </c>
      <c r="P35" s="169" t="s">
        <v>110</v>
      </c>
      <c r="Q35" s="169"/>
      <c r="R35" s="169" t="s">
        <v>236</v>
      </c>
      <c r="S35" s="9"/>
      <c r="T35" s="9"/>
      <c r="U35" s="9"/>
      <c r="V35" s="9"/>
      <c r="W35" s="9"/>
      <c r="X35" s="9"/>
      <c r="Y35" s="9"/>
      <c r="Z35" s="9"/>
    </row>
    <row r="36" spans="1:26" x14ac:dyDescent="0.3">
      <c r="H36" s="25"/>
      <c r="S36" s="9"/>
      <c r="T36" s="9"/>
      <c r="U36" s="9"/>
      <c r="V36" s="9"/>
      <c r="W36" s="9"/>
      <c r="X36" s="9"/>
      <c r="Y36" s="9"/>
      <c r="Z36" s="9"/>
    </row>
    <row r="37" spans="1:26" x14ac:dyDescent="0.3">
      <c r="H37" s="25"/>
      <c r="W37" s="9"/>
      <c r="X37" s="9"/>
      <c r="Y37" s="9"/>
      <c r="Z37" s="9"/>
    </row>
    <row r="38" spans="1:26" x14ac:dyDescent="0.3">
      <c r="H38" s="25"/>
      <c r="W38" s="9"/>
      <c r="X38" s="9"/>
      <c r="Y38" s="9"/>
      <c r="Z38" s="9"/>
    </row>
    <row r="39" spans="1:26" x14ac:dyDescent="0.3">
      <c r="H39" s="25"/>
      <c r="W39" s="9"/>
      <c r="X39" s="9"/>
      <c r="Y39" s="9"/>
      <c r="Z39" s="9"/>
    </row>
    <row r="40" spans="1:26" x14ac:dyDescent="0.3">
      <c r="H40" s="25"/>
      <c r="W40" s="9"/>
      <c r="X40" s="9"/>
      <c r="Y40" s="9"/>
      <c r="Z40" s="9"/>
    </row>
    <row r="41" spans="1:26" x14ac:dyDescent="0.3">
      <c r="H41" s="25"/>
      <c r="W41" s="9"/>
      <c r="X41" s="9"/>
      <c r="Y41" s="9"/>
      <c r="Z41" s="9"/>
    </row>
    <row r="42" spans="1:26" x14ac:dyDescent="0.3">
      <c r="H42" s="25"/>
      <c r="W42" s="9"/>
      <c r="X42" s="9"/>
      <c r="Y42" s="9"/>
      <c r="Z42" s="9"/>
    </row>
    <row r="43" spans="1:26" x14ac:dyDescent="0.3">
      <c r="H43" s="25"/>
      <c r="W43" s="9"/>
      <c r="X43" s="9"/>
      <c r="Y43" s="9"/>
      <c r="Z43" s="9"/>
    </row>
    <row r="44" spans="1:26" x14ac:dyDescent="0.3">
      <c r="H44" s="25"/>
      <c r="W44" s="9"/>
      <c r="X44" s="9"/>
      <c r="Y44" s="9"/>
      <c r="Z44" s="9"/>
    </row>
    <row r="45" spans="1:26" x14ac:dyDescent="0.3">
      <c r="H45" s="25"/>
      <c r="W45" s="9"/>
      <c r="X45" s="9"/>
      <c r="Y45" s="9"/>
      <c r="Z45" s="9"/>
    </row>
    <row r="46" spans="1:26" x14ac:dyDescent="0.3">
      <c r="H46" s="25"/>
      <c r="W46" s="9"/>
      <c r="X46" s="9"/>
      <c r="Y46" s="9"/>
      <c r="Z46" s="9"/>
    </row>
    <row r="47" spans="1:26" x14ac:dyDescent="0.3">
      <c r="H47" s="25"/>
      <c r="W47" s="9"/>
      <c r="X47" s="9"/>
      <c r="Y47" s="9"/>
      <c r="Z47" s="9"/>
    </row>
    <row r="48" spans="1:26" x14ac:dyDescent="0.3">
      <c r="W48" s="9"/>
      <c r="X48" s="9"/>
      <c r="Y48" s="9"/>
      <c r="Z48" s="9"/>
    </row>
  </sheetData>
  <mergeCells count="5">
    <mergeCell ref="A1:F1"/>
    <mergeCell ref="A3:F3"/>
    <mergeCell ref="A9:G9"/>
    <mergeCell ref="A23:G23"/>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13" t="s">
        <v>14</v>
      </c>
      <c r="C1" s="213"/>
      <c r="D1" s="213"/>
      <c r="E1" s="213"/>
    </row>
    <row r="2" spans="1:5" ht="81.75" customHeight="1" x14ac:dyDescent="0.35">
      <c r="A2" s="1">
        <v>1</v>
      </c>
      <c r="B2" s="206" t="s">
        <v>16</v>
      </c>
      <c r="C2" s="206"/>
      <c r="D2" s="206"/>
      <c r="E2" s="206"/>
    </row>
    <row r="3" spans="1:5" x14ac:dyDescent="0.3">
      <c r="B3" s="3"/>
      <c r="C3" s="3"/>
      <c r="D3" s="3"/>
      <c r="E3" s="3"/>
    </row>
    <row r="4" spans="1:5" ht="33" customHeight="1" x14ac:dyDescent="0.3">
      <c r="A4" s="1">
        <v>2</v>
      </c>
      <c r="B4" s="206" t="s">
        <v>17</v>
      </c>
      <c r="C4" s="206"/>
      <c r="D4" s="206"/>
      <c r="E4" s="206"/>
    </row>
    <row r="5" spans="1:5" x14ac:dyDescent="0.3">
      <c r="B5" s="3"/>
      <c r="C5" s="3"/>
      <c r="D5" s="3"/>
      <c r="E5" s="3"/>
    </row>
    <row r="6" spans="1:5" s="17" customFormat="1" ht="114" customHeight="1" x14ac:dyDescent="0.3">
      <c r="A6" s="18">
        <v>3</v>
      </c>
      <c r="B6" s="207" t="s">
        <v>71</v>
      </c>
      <c r="C6" s="207"/>
      <c r="D6" s="207"/>
      <c r="E6" s="207"/>
    </row>
    <row r="7" spans="1:5" s="17" customFormat="1" x14ac:dyDescent="0.3">
      <c r="A7" s="18"/>
      <c r="B7" s="19"/>
      <c r="C7" s="19"/>
      <c r="D7" s="19"/>
      <c r="E7" s="19"/>
    </row>
    <row r="8" spans="1:5" ht="18" customHeight="1" x14ac:dyDescent="0.3">
      <c r="A8" s="1">
        <v>4</v>
      </c>
      <c r="B8" s="210" t="s">
        <v>63</v>
      </c>
      <c r="C8" s="210"/>
      <c r="D8" s="8"/>
      <c r="E8" s="8"/>
    </row>
    <row r="9" spans="1:5" ht="18" customHeight="1" x14ac:dyDescent="0.3">
      <c r="B9" s="215" t="s">
        <v>151</v>
      </c>
      <c r="C9" s="215"/>
      <c r="D9" s="13">
        <v>350000</v>
      </c>
    </row>
    <row r="10" spans="1:5" ht="18" customHeight="1" x14ac:dyDescent="0.3">
      <c r="B10" s="206" t="s">
        <v>152</v>
      </c>
      <c r="C10" s="206"/>
      <c r="D10" s="12">
        <v>-87500</v>
      </c>
    </row>
    <row r="11" spans="1:5" ht="18" customHeight="1" x14ac:dyDescent="0.3">
      <c r="B11" s="215" t="s">
        <v>153</v>
      </c>
      <c r="C11" s="215"/>
      <c r="D11" s="14">
        <f>+D9+D10</f>
        <v>262500</v>
      </c>
    </row>
    <row r="12" spans="1:5" ht="31.5" customHeight="1" x14ac:dyDescent="0.3">
      <c r="B12" s="206" t="s">
        <v>154</v>
      </c>
      <c r="C12" s="206"/>
      <c r="D12" s="11">
        <f>350000*0.25</f>
        <v>87500</v>
      </c>
    </row>
    <row r="13" spans="1:5" ht="36.75" customHeight="1" x14ac:dyDescent="0.3">
      <c r="B13" s="215" t="s">
        <v>155</v>
      </c>
      <c r="C13" s="215"/>
      <c r="D13" s="15">
        <f>SUM(D11:D12)</f>
        <v>350000</v>
      </c>
    </row>
    <row r="14" spans="1:5" s="17" customFormat="1" ht="18" customHeight="1" x14ac:dyDescent="0.3">
      <c r="A14" s="18"/>
      <c r="B14" s="22"/>
      <c r="C14" s="22"/>
      <c r="D14" s="23"/>
    </row>
    <row r="15" spans="1:5" s="17" customFormat="1" ht="84.75" customHeight="1" x14ac:dyDescent="0.3">
      <c r="A15" s="1">
        <v>5</v>
      </c>
      <c r="B15" s="214" t="s">
        <v>64</v>
      </c>
      <c r="C15" s="214"/>
      <c r="D15" s="214"/>
      <c r="E15" s="214"/>
    </row>
    <row r="16" spans="1:5" x14ac:dyDescent="0.3">
      <c r="B16" s="3"/>
      <c r="C16" s="3"/>
      <c r="D16" s="3"/>
      <c r="E16" s="3"/>
    </row>
    <row r="17" spans="1:5" ht="14.4" customHeight="1" x14ac:dyDescent="0.3">
      <c r="A17" s="1">
        <v>6</v>
      </c>
      <c r="B17" s="206" t="s">
        <v>217</v>
      </c>
      <c r="C17" s="206"/>
      <c r="D17" s="206"/>
      <c r="E17" s="206"/>
    </row>
    <row r="18" spans="1:5" x14ac:dyDescent="0.3">
      <c r="B18" s="10"/>
      <c r="C18" s="10"/>
      <c r="D18" s="10"/>
      <c r="E18" s="10"/>
    </row>
    <row r="19" spans="1:5" ht="33" customHeight="1" x14ac:dyDescent="0.3">
      <c r="A19" s="1">
        <v>7</v>
      </c>
      <c r="B19" s="206" t="s">
        <v>38</v>
      </c>
      <c r="C19" s="206"/>
      <c r="D19" s="206"/>
      <c r="E19" s="206"/>
    </row>
    <row r="20" spans="1:5" ht="14.25" customHeight="1" x14ac:dyDescent="0.3">
      <c r="B20" s="7"/>
      <c r="C20" s="7"/>
      <c r="D20" s="7"/>
      <c r="E20" s="7"/>
    </row>
    <row r="21" spans="1:5" ht="47.25" customHeight="1" x14ac:dyDescent="0.3">
      <c r="A21" s="1">
        <v>8</v>
      </c>
      <c r="B21" s="206" t="s">
        <v>39</v>
      </c>
      <c r="C21" s="206"/>
      <c r="D21" s="206"/>
      <c r="E21" s="206"/>
    </row>
    <row r="22" spans="1:5" ht="15" customHeight="1" x14ac:dyDescent="0.3">
      <c r="B22" s="7"/>
      <c r="C22" s="7"/>
      <c r="D22" s="7"/>
      <c r="E22" s="7"/>
    </row>
    <row r="23" spans="1:5" ht="32.25" customHeight="1" x14ac:dyDescent="0.3">
      <c r="A23" s="1">
        <v>9</v>
      </c>
      <c r="B23" s="206" t="s">
        <v>37</v>
      </c>
      <c r="C23" s="206"/>
      <c r="D23" s="206"/>
      <c r="E23" s="206"/>
    </row>
    <row r="24" spans="1:5" ht="15" customHeight="1" x14ac:dyDescent="0.3">
      <c r="B24" s="7"/>
      <c r="C24" s="7"/>
      <c r="D24" s="7"/>
      <c r="E24" s="7"/>
    </row>
    <row r="25" spans="1:5" ht="33" customHeight="1" x14ac:dyDescent="0.3">
      <c r="A25" s="1">
        <v>10</v>
      </c>
      <c r="B25" s="206" t="s">
        <v>40</v>
      </c>
      <c r="C25" s="206"/>
      <c r="D25" s="206"/>
      <c r="E25" s="206"/>
    </row>
    <row r="26" spans="1:5" x14ac:dyDescent="0.3">
      <c r="B26" s="3"/>
      <c r="C26" s="3"/>
      <c r="D26" s="3"/>
      <c r="E26" s="3"/>
    </row>
    <row r="27" spans="1:5" ht="30" customHeight="1" x14ac:dyDescent="0.3">
      <c r="A27" s="1">
        <v>11</v>
      </c>
      <c r="B27" s="206" t="s">
        <v>41</v>
      </c>
      <c r="C27" s="206"/>
      <c r="D27" s="206"/>
      <c r="E27" s="206"/>
    </row>
    <row r="28" spans="1:5" x14ac:dyDescent="0.3">
      <c r="B28" s="3"/>
      <c r="C28" s="3"/>
      <c r="D28" s="3"/>
      <c r="E28" s="3"/>
    </row>
    <row r="29" spans="1:5" ht="31.5" customHeight="1" x14ac:dyDescent="0.3">
      <c r="A29" s="1">
        <v>12</v>
      </c>
      <c r="B29" s="206" t="s">
        <v>42</v>
      </c>
      <c r="C29" s="206"/>
      <c r="D29" s="206"/>
      <c r="E29" s="206"/>
    </row>
    <row r="30" spans="1:5" x14ac:dyDescent="0.3">
      <c r="B30" s="7"/>
      <c r="C30" s="7"/>
      <c r="D30" s="7"/>
      <c r="E30" s="7"/>
    </row>
    <row r="31" spans="1:5" ht="34.5" customHeight="1" x14ac:dyDescent="0.3">
      <c r="A31" s="1">
        <v>13</v>
      </c>
      <c r="B31" s="206" t="s">
        <v>18</v>
      </c>
      <c r="C31" s="206"/>
      <c r="D31" s="206"/>
      <c r="E31" s="206"/>
    </row>
    <row r="32" spans="1:5" ht="16.5" customHeight="1" x14ac:dyDescent="0.3">
      <c r="B32" s="3"/>
      <c r="C32" s="3"/>
      <c r="D32" s="3"/>
      <c r="E32" s="3"/>
    </row>
    <row r="33" spans="1:5" ht="64.5" customHeight="1" x14ac:dyDescent="0.3">
      <c r="A33" s="1">
        <v>14</v>
      </c>
      <c r="B33" s="206" t="s">
        <v>19</v>
      </c>
      <c r="C33" s="206"/>
      <c r="D33" s="206"/>
      <c r="E33" s="206"/>
    </row>
    <row r="34" spans="1:5" ht="14.25" customHeight="1" x14ac:dyDescent="0.3">
      <c r="B34" s="3"/>
      <c r="C34" s="3"/>
      <c r="D34" s="3"/>
      <c r="E34" s="3"/>
    </row>
    <row r="35" spans="1:5" x14ac:dyDescent="0.3">
      <c r="A35" s="1">
        <v>15</v>
      </c>
      <c r="B35" s="210" t="s">
        <v>34</v>
      </c>
      <c r="C35" s="210"/>
      <c r="D35" s="210"/>
      <c r="E35" s="210"/>
    </row>
    <row r="36" spans="1:5" x14ac:dyDescent="0.3">
      <c r="B36" s="16" t="s">
        <v>7</v>
      </c>
      <c r="C36" s="211" t="s">
        <v>20</v>
      </c>
      <c r="D36" s="211"/>
      <c r="E36" s="211"/>
    </row>
    <row r="37" spans="1:5" x14ac:dyDescent="0.3">
      <c r="B37" s="5" t="s">
        <v>21</v>
      </c>
      <c r="C37" s="212" t="s">
        <v>28</v>
      </c>
      <c r="D37" s="212"/>
      <c r="E37" s="212"/>
    </row>
    <row r="38" spans="1:5" x14ac:dyDescent="0.3">
      <c r="B38" s="16" t="s">
        <v>22</v>
      </c>
      <c r="C38" s="211" t="s">
        <v>29</v>
      </c>
      <c r="D38" s="211"/>
      <c r="E38" s="211"/>
    </row>
    <row r="39" spans="1:5" x14ac:dyDescent="0.3">
      <c r="B39" s="5" t="s">
        <v>23</v>
      </c>
      <c r="C39" s="212" t="s">
        <v>32</v>
      </c>
      <c r="D39" s="212"/>
      <c r="E39" s="212"/>
    </row>
    <row r="40" spans="1:5" x14ac:dyDescent="0.3">
      <c r="B40" s="16" t="s">
        <v>9</v>
      </c>
      <c r="C40" s="211" t="s">
        <v>30</v>
      </c>
      <c r="D40" s="211"/>
      <c r="E40" s="211"/>
    </row>
    <row r="41" spans="1:5" x14ac:dyDescent="0.3">
      <c r="B41" s="5" t="s">
        <v>8</v>
      </c>
      <c r="C41" s="212" t="s">
        <v>24</v>
      </c>
      <c r="D41" s="212"/>
      <c r="E41" s="212"/>
    </row>
    <row r="42" spans="1:5" x14ac:dyDescent="0.3">
      <c r="B42" s="16" t="s">
        <v>25</v>
      </c>
      <c r="C42" s="211" t="s">
        <v>26</v>
      </c>
      <c r="D42" s="211"/>
      <c r="E42" s="211"/>
    </row>
    <row r="43" spans="1:5" x14ac:dyDescent="0.3">
      <c r="B43" s="5" t="s">
        <v>27</v>
      </c>
      <c r="C43" s="212" t="s">
        <v>31</v>
      </c>
      <c r="D43" s="212"/>
      <c r="E43" s="212"/>
    </row>
    <row r="44" spans="1:5" s="17" customFormat="1" x14ac:dyDescent="0.3">
      <c r="A44" s="18"/>
      <c r="B44" s="20"/>
      <c r="C44" s="21"/>
      <c r="D44" s="21"/>
      <c r="E44" s="21"/>
    </row>
    <row r="45" spans="1:5" s="17" customFormat="1" x14ac:dyDescent="0.3">
      <c r="A45" s="18">
        <v>16</v>
      </c>
      <c r="B45" s="24" t="s">
        <v>72</v>
      </c>
      <c r="C45" s="21"/>
      <c r="D45" s="21"/>
      <c r="E45" s="21"/>
    </row>
    <row r="46" spans="1:5" s="17" customFormat="1" ht="30" customHeight="1" x14ac:dyDescent="0.3">
      <c r="A46" s="18"/>
      <c r="B46" s="16" t="s">
        <v>55</v>
      </c>
      <c r="C46" s="211" t="s">
        <v>74</v>
      </c>
      <c r="D46" s="211"/>
      <c r="E46" s="211"/>
    </row>
    <row r="47" spans="1:5" s="17" customFormat="1" x14ac:dyDescent="0.3">
      <c r="A47" s="18"/>
      <c r="B47" s="20" t="s">
        <v>56</v>
      </c>
      <c r="C47" s="212" t="s">
        <v>73</v>
      </c>
      <c r="D47" s="212"/>
      <c r="E47" s="212"/>
    </row>
    <row r="48" spans="1:5" s="17" customFormat="1" ht="48.75" customHeight="1" x14ac:dyDescent="0.3">
      <c r="A48" s="18"/>
      <c r="B48" s="16" t="s">
        <v>57</v>
      </c>
      <c r="C48" s="211" t="s">
        <v>76</v>
      </c>
      <c r="D48" s="211"/>
      <c r="E48" s="211"/>
    </row>
    <row r="49" spans="1:5" s="17" customFormat="1" ht="29.25" customHeight="1" x14ac:dyDescent="0.3">
      <c r="A49" s="18"/>
      <c r="B49" s="20" t="s">
        <v>58</v>
      </c>
      <c r="C49" s="212" t="s">
        <v>75</v>
      </c>
      <c r="D49" s="212"/>
      <c r="E49" s="212"/>
    </row>
    <row r="50" spans="1:5" x14ac:dyDescent="0.3">
      <c r="B50" s="5"/>
      <c r="C50" s="6"/>
      <c r="D50" s="6"/>
      <c r="E50" s="6"/>
    </row>
    <row r="51" spans="1:5" ht="94.5" customHeight="1" x14ac:dyDescent="0.3">
      <c r="A51" s="1">
        <v>17</v>
      </c>
      <c r="B51" s="209" t="s">
        <v>33</v>
      </c>
      <c r="C51" s="209"/>
      <c r="D51" s="209"/>
      <c r="E51" s="209"/>
    </row>
    <row r="53" spans="1:5" x14ac:dyDescent="0.3">
      <c r="B53" s="2"/>
    </row>
    <row r="54" spans="1:5" x14ac:dyDescent="0.3">
      <c r="A54" s="208" t="s">
        <v>35</v>
      </c>
      <c r="B54" s="208"/>
      <c r="C54" s="208"/>
      <c r="D54" s="208"/>
      <c r="E54" s="208"/>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2016-02-03T15:13:47Z</cp:lastPrinted>
  <dcterms:created xsi:type="dcterms:W3CDTF">2013-05-11T20:19:37Z</dcterms:created>
  <dcterms:modified xsi:type="dcterms:W3CDTF">2016-09-19T19:47:33Z</dcterms:modified>
</cp:coreProperties>
</file>