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tables/table4.xml" ContentType="application/vnd.openxmlformats-officedocument.spreadsheetml.table+xml"/>
  <Override PartName="/xl/queryTables/queryTable2.xml" ContentType="application/vnd.openxmlformats-officedocument.spreadsheetml.queryTable+xml"/>
  <Override PartName="/xl/tables/table5.xml" ContentType="application/vnd.openxmlformats-officedocument.spreadsheetml.table+xml"/>
  <Override PartName="/xl/queryTables/queryTable3.xml" ContentType="application/vnd.openxmlformats-officedocument.spreadsheetml.queryTable+xml"/>
  <Override PartName="/xl/tables/table6.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5480" windowHeight="5952"/>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Transactions'!$A$1:$W$70</definedName>
    <definedName name="Query_from_MS_Access_Database" localSheetId="0" hidden="1">'Federal Funds Transactions'!$A$16:$T$41</definedName>
    <definedName name="Query_from_MS_Access_Database" localSheetId="1" hidden="1">'Regional Loans and Transfers'!$A$11:$R$24</definedName>
    <definedName name="Query_from_MS_Access_Database_1" localSheetId="0" hidden="1">'Federal Funds Transactions'!$A$46:$T$47</definedName>
    <definedName name="Query_from_MS_Access_Database_1" localSheetId="1" hidden="1">'Regional Loans and Transfers'!$A$27:$R$39</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U47" i="1" l="1"/>
  <c r="V47" i="1" s="1"/>
  <c r="I47" i="1"/>
  <c r="I18" i="1"/>
  <c r="I21" i="1"/>
  <c r="I19" i="1"/>
  <c r="I32" i="1"/>
  <c r="I28" i="1"/>
  <c r="I25" i="1"/>
  <c r="I31" i="1"/>
  <c r="I37" i="1"/>
  <c r="I35" i="1"/>
  <c r="I34" i="1"/>
  <c r="I24" i="1"/>
  <c r="I36" i="1"/>
  <c r="I38" i="1"/>
  <c r="I22" i="1"/>
  <c r="I17" i="1"/>
  <c r="I40" i="1"/>
  <c r="I27" i="1"/>
  <c r="I29" i="1"/>
  <c r="I26" i="1"/>
  <c r="I41" i="1"/>
  <c r="I30" i="1"/>
  <c r="I39" i="1"/>
  <c r="I33" i="1"/>
  <c r="I23" i="1"/>
  <c r="I20" i="1"/>
  <c r="U18" i="1"/>
  <c r="U21" i="1"/>
  <c r="U19" i="1"/>
  <c r="U32" i="1"/>
  <c r="U28" i="1"/>
  <c r="U25" i="1"/>
  <c r="U31" i="1"/>
  <c r="U37" i="1"/>
  <c r="U35" i="1"/>
  <c r="U34" i="1"/>
  <c r="U24" i="1"/>
  <c r="U36" i="1"/>
  <c r="U38" i="1"/>
  <c r="U22" i="1"/>
  <c r="U17" i="1"/>
  <c r="V17" i="1" s="1"/>
  <c r="V18" i="1" s="1"/>
  <c r="V19" i="1" s="1"/>
  <c r="V20" i="1" s="1"/>
  <c r="V21" i="1" s="1"/>
  <c r="V22" i="1" s="1"/>
  <c r="V23" i="1" s="1"/>
  <c r="V24" i="1" s="1"/>
  <c r="V25" i="1" s="1"/>
  <c r="V26" i="1" s="1"/>
  <c r="V27" i="1" s="1"/>
  <c r="V28" i="1" s="1"/>
  <c r="V29" i="1" s="1"/>
  <c r="V30" i="1" s="1"/>
  <c r="V31" i="1" s="1"/>
  <c r="V32" i="1" s="1"/>
  <c r="V33" i="1" s="1"/>
  <c r="V34" i="1" s="1"/>
  <c r="V35" i="1" s="1"/>
  <c r="V36" i="1" s="1"/>
  <c r="V37" i="1" s="1"/>
  <c r="V38" i="1" s="1"/>
  <c r="V39" i="1" s="1"/>
  <c r="V40" i="1" s="1"/>
  <c r="V41" i="1" s="1"/>
  <c r="U40" i="1"/>
  <c r="U27" i="1"/>
  <c r="U29" i="1"/>
  <c r="U26" i="1"/>
  <c r="U41" i="1"/>
  <c r="U30" i="1"/>
  <c r="U39" i="1"/>
  <c r="U33" i="1"/>
  <c r="U23" i="1"/>
  <c r="U20" i="1"/>
  <c r="T4" i="1" l="1"/>
  <c r="R4" i="1"/>
  <c r="V12" i="1" l="1"/>
  <c r="T12" i="1"/>
  <c r="S12" i="1"/>
  <c r="R12" i="1"/>
  <c r="Q12" i="1"/>
  <c r="P12" i="1"/>
  <c r="O12" i="1"/>
  <c r="N12" i="1"/>
  <c r="V11" i="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T6" i="1" l="1"/>
  <c r="S6" i="1"/>
  <c r="Q6" i="1"/>
  <c r="P6" i="1" l="1"/>
  <c r="D11" i="2" l="1"/>
  <c r="V56" i="1" l="1"/>
  <c r="S56" i="1"/>
  <c r="Q56" i="1"/>
  <c r="P56" i="1"/>
  <c r="O56" i="1"/>
  <c r="N56" i="1"/>
  <c r="T57" i="1" l="1"/>
  <c r="R57" i="1"/>
  <c r="U56" i="1" l="1"/>
  <c r="U4" i="1" l="1"/>
  <c r="U5" i="1"/>
  <c r="U6" i="1"/>
  <c r="V6" i="1" s="1"/>
  <c r="D12" i="2" l="1"/>
  <c r="O48" i="1" l="1"/>
  <c r="P48" i="1"/>
  <c r="Q48" i="1"/>
  <c r="R48" i="1"/>
  <c r="S48" i="1"/>
  <c r="T48" i="1"/>
  <c r="U48" i="1"/>
  <c r="N48" i="1"/>
  <c r="O42" i="1"/>
  <c r="P42" i="1"/>
  <c r="Q42" i="1"/>
  <c r="R42" i="1"/>
  <c r="S42" i="1"/>
  <c r="T42" i="1"/>
  <c r="U42" i="1"/>
  <c r="N42" i="1"/>
  <c r="R13" i="1" l="1"/>
  <c r="S13" i="1"/>
  <c r="S43" i="1" s="1"/>
  <c r="S49" i="1" s="1"/>
  <c r="T13" i="1"/>
  <c r="S55" i="1" l="1"/>
  <c r="S57" i="1" s="1"/>
  <c r="T43" i="1"/>
  <c r="T49" i="1" s="1"/>
  <c r="T58" i="1" s="1"/>
  <c r="R43" i="1"/>
  <c r="R49" i="1" s="1"/>
  <c r="R58" i="1" s="1"/>
  <c r="O13" i="1" l="1"/>
  <c r="O43" i="1" s="1"/>
  <c r="O49" i="1" s="1"/>
  <c r="O55" i="1" s="1"/>
  <c r="O57" i="1" s="1"/>
  <c r="A7" i="3"/>
  <c r="U7" i="1" l="1"/>
  <c r="U9" i="1"/>
  <c r="U11" i="1"/>
  <c r="U8" i="1"/>
  <c r="U10" i="1"/>
  <c r="U12" i="1"/>
  <c r="V13" i="1"/>
  <c r="P13" i="1"/>
  <c r="P43" i="1" s="1"/>
  <c r="P49" i="1" s="1"/>
  <c r="P55" i="1" s="1"/>
  <c r="P57" i="1" s="1"/>
  <c r="N13" i="1"/>
  <c r="N43" i="1" s="1"/>
  <c r="N49" i="1" s="1"/>
  <c r="Q13" i="1"/>
  <c r="Q43" i="1" s="1"/>
  <c r="Q49" i="1" s="1"/>
  <c r="N55" i="1" l="1"/>
  <c r="N57" i="1" s="1"/>
  <c r="Q55" i="1"/>
  <c r="Q57" i="1" s="1"/>
  <c r="B5" i="3"/>
  <c r="D13" i="2"/>
  <c r="U55" i="1" l="1"/>
  <c r="U57" i="1" s="1"/>
  <c r="U58" i="1"/>
  <c r="U13" i="1" l="1"/>
  <c r="U43" i="1" s="1"/>
  <c r="U49" i="1" s="1"/>
  <c r="A1" i="3"/>
  <c r="V55" i="1" l="1"/>
  <c r="V57"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6-PAG LEDGER`.`ADOT#`, `06-PAG LEDGER`.`TIP#`, `06-PAG LEDGER`.Sponsor, `06-PAG LEDGER`.`Action/15`, `06-PAG LEDGER`.Location, `06-PAG LEDGER`.RTE, `06-PAG LEDGER`.SEC, `06-PAG LEDGER`.SEQ, `06-PAG LEDGER`.`PB Expected`, `06-PAG LEDGER`.`PB Received`, `06-PAG LEDGER`.`PF Transmitted`, `06-PAG LEDGER`.`Finance Authorization`, `06-PAG LEDGER`.HSIP, `06-PAG LEDGER`.PL, `06-PAG LEDGER`.SPR, `06-PAG LEDGER`.`STP OTHER`, `06-PAG LEDGER`.`STP OVER 200K`, `06-PAG LEDGER`.`TA OTHER`, `06-PAG LEDGER`.`TA OVER 200K`_x000d__x000a_FROM `G:\FMS\RESOURCE\ACCESS\010614 PBPF\011614 PBPF front.accdb`.`06-PAG LEDGER` `06-PAG LEDGER`_x000d__x000a_WHERE (`06-PAG LEDGER`.`ADOT#`&lt;&gt;'Trick') AND (`06-PAG LEDGER`.`Finance Authorization`&gt;=#10/1/2016# AND `06-PAG LEDGER`.`Finance Authorization`&lt;=#9/30/2017#)_x000d__x000a_ORDER BY `06-P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6-PAGqryLedgerApportsCrosstab`.`Transaction Year`, `06-PAGqryLedgerApportsCrosstab`.`Transaction Type`, `06-PAGqryLedgerApportsCrosstab`.Number, `06-PAGqryLedgerApportsCrosstab`.`From`, `06-PAGqryLedgerApportsCrosstab`.To, `06-PAGqryLedgerApportsCrosstab`.`Repayment Year`, `06-PAGqryLedgerApportsCrosstab`.Project8, `06-PAGqryLedgerApportsCrosstab`.Notes, `06-PAGqryLedgerApportsCrosstab`.Total, `06-PAGqryLedgerApportsCrosstab`.CMAQ, `06-PAGqryLedgerApportsCrosstab`.`CMAQ 2_5`, `06-PAGqryLedgerApportsCrosstab`.HSIP, `06-PAGqryLedgerApportsCrosstab`.PL, `06-PAGqryLedgerApportsCrosstab`.SPR, `06-PAGqryLedgerApportsCrosstab`.`STP other`, `06-PAGqryLedgerApportsCrosstab`.`STP over 200K`, `06-PAGqryLedgerApportsCrosstab`.`TA other`, `06-PAGqryLedgerApportsCrosstab`.`TA over 200K`_x000d__x000a_FROM `G:\FMS\RESOURCE\ACCESS\010614 PBPF\011614 PBPF front.accdb`.`06-PAGqryLedgerApportsCrosstab` `06-PAGqryLedgerApportsCrosstab`_x000d__x000a_WHERE (`06-P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6-PAGqryLedgerOACrosstab`.`Transaction Year`, `06-PAGqryLedgerOACrosstab`.`Transaction Type`, `06-PAGqryLedgerOACrosstab`.Number, `06-PAGqryLedgerOACrosstab`.`From`, `06-PAGqryLedgerOACrosstab`.To, `06-PAGqryLedgerOACrosstab`.`Repayment Year`, `06-PAGqryLedgerOACrosstab`.Project8, `06-PAGqryLedgerOACrosstab`.Notes, `06-PAGqryLedgerOACrosstab`.Total, `06-PAGqryLedgerOACrosstab`.CMAQ, `06-PAGqryLedgerOACrosstab`.`CMAQ 2_5`, `06-PAGqryLedgerOACrosstab`.HSIP, `06-PAGqryLedgerOACrosstab`.PL, `06-PAGqryLedgerOACrosstab`.SPR, `06-PAGqryLedgerOACrosstab`.`STP other`, `06-PAGqryLedgerOACrosstab`.`STP over 200K`, `06-PAGqryLedgerOACrosstab`.`TA other`, `06-PAGqryLedgerOACrosstab`.`TA over 200K`_x000d__x000a_FROM `G:\FMS\RESOURCE\ACCESS\010614 PBPF\011614 PBPF front.accdb`.`06-PAGqryLedgerOACrosstab` `06-PAGqryLedgerOACrosstab`_x000d__x000a_WHERE (`06-P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6-PAG LEDGER`.`ADOT#`, `06-PAG LEDGER`.`TIP#`, `06-PAG LEDGER`.Sponsor, `06-PAG LEDGER`.`Action/15`, `06-PAG LEDGER`.Location, `06-PAG LEDGER`.RTE, `06-PAG LEDGER`.SEC, `06-PAG LEDGER`.SEQ, `06-PAG LEDGER`.`PB Expected`, `06-PAG LEDGER`.`PB Received`, `06-PAG LEDGER`.`PF Transmitted`, `06-PAG LEDGER`.`Finance Authorization`, `06-PAG LEDGER`.HSIP, `06-PAG LEDGER`.PL, `06-PAG LEDGER`.SPR, `06-PAG LEDGER`.`STP OTHER`, `06-PAG LEDGER`.`STP OVER 200K`, `06-PAG LEDGER`.`TA OTHER`, `06-PAG LEDGER`.`TA OVER 200K`_x000d__x000a_FROM `G:\FMS\RESOURCE\ACCESS\010614 PBPF\011614 PBPF front.accdb`.`06-PAG LEDGER` `06-PAG LEDGER`_x000d__x000a_WHERE (`06-PAG LEDGER`.`ADOT#` Not Like 'Trick') AND (`06-PAG LEDGER`.`Finance Authorization` Is Null) AND (`06-PAG LEDGER`.`Action/15` Not In ('Reduce AC', 'AC Auth')) AND ((`06-PAG LEDGER`.`PB Expected`&gt;=#10/1/2016# and `PB Expected`&lt;=#9/30/2017#) OR (`06-PAG LEDGER`.`PB Received`&gt;=#10/1/2016# and `PB Received`&lt;=#9/30/2017#) OR (`06-PAG LEDGER`.`PF Transmitted`&gt;=#10/1/2016# and `PF Transmitted`&lt;=#9/30/2017#))_x000d__x000a_ORDER BY `06-PAG LEDGER`.`ADOT#`"/>
  </connection>
</connections>
</file>

<file path=xl/sharedStrings.xml><?xml version="1.0" encoding="utf-8"?>
<sst xmlns="http://schemas.openxmlformats.org/spreadsheetml/2006/main" count="553" uniqueCount="247">
  <si>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</si>
  <si>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</si>
  <si>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</si>
  <si>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</si>
  <si>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</si>
  <si>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</si>
  <si>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</si>
  <si>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</si>
  <si>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</si>
  <si>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</si>
  <si>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</si>
  <si>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</si>
  <si>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</si>
  <si>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</si>
  <si>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</si>
  <si>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</si>
  <si>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</si>
  <si>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</si>
  <si>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</si>
  <si>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</si>
  <si>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</si>
  <si>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</si>
  <si>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</si>
  <si>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</si>
  <si>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</si>
  <si>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</si>
  <si>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</si>
  <si>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</si>
  <si>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</si>
  <si>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</si>
  <si>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</si>
  <si>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</si>
  <si>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</si>
  <si>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</si>
  <si>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</si>
  <si>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</si>
  <si>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</si>
  <si>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</si>
  <si>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</si>
  <si>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</si>
  <si>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</si>
  <si>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</si>
  <si>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</si>
  <si>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</si>
  <si>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</si>
  <si>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</si>
  <si>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STP over 200K</t>
  </si>
  <si>
    <t>TA other</t>
  </si>
  <si>
    <t>TA over 200K</t>
  </si>
  <si>
    <t>Transaction Year</t>
  </si>
  <si>
    <t>Transaction Type</t>
  </si>
  <si>
    <t>Repayment Year</t>
  </si>
  <si>
    <t>RTE</t>
  </si>
  <si>
    <t>SEC</t>
  </si>
  <si>
    <t>SEQ</t>
  </si>
  <si>
    <t>PB Expected</t>
  </si>
  <si>
    <t>PB Received</t>
  </si>
  <si>
    <t>PF Transmitted</t>
  </si>
  <si>
    <t>Finance Authorization</t>
  </si>
  <si>
    <t>STP OTHER</t>
  </si>
  <si>
    <t>FED #</t>
  </si>
  <si>
    <t>EXPECTED DECLINING BALANCE OA</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</si>
  <si>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</si>
  <si>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</si>
  <si>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</si>
  <si>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</si>
  <si>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</si>
  <si>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</si>
  <si>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</si>
  <si>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 6</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</si>
  <si>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</si>
  <si>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</si>
  <si>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</si>
  <si>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</si>
  <si>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</si>
  <si>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</si>
  <si>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</si>
  <si>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</si>
  <si>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</si>
  <si>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</si>
  <si>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</si>
  <si>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</si>
  <si>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</si>
  <si>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</si>
  <si>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</si>
  <si>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</si>
  <si>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</si>
  <si>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</si>
  <si>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</si>
  <si>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</si>
  <si>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</si>
  <si>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</si>
  <si>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</si>
  <si>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Repayment Out</t>
  </si>
  <si>
    <t>TOTAL OF AMOUNT</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</si>
  <si>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</si>
  <si>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</si>
  <si>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t>From</t>
  </si>
  <si>
    <t>To</t>
  </si>
  <si>
    <t>Project8</t>
  </si>
  <si>
    <t>Notes</t>
  </si>
  <si>
    <t>DECLINING BALANCE OA</t>
  </si>
  <si>
    <t>STP OVER 200K</t>
  </si>
  <si>
    <t>TA OTHER</t>
  </si>
  <si>
    <t>TA OVER 200K</t>
  </si>
  <si>
    <t>ADOT</t>
  </si>
  <si>
    <t>Loan In</t>
  </si>
  <si>
    <t>Pima Association of Goverments</t>
  </si>
  <si>
    <t>2011</t>
  </si>
  <si>
    <t>PAG-L001</t>
  </si>
  <si>
    <t>PAG</t>
  </si>
  <si>
    <t>STP apports and OA loan from ADOT for Jan 2011 transfer to FTA</t>
  </si>
  <si>
    <t>PAG-L002</t>
  </si>
  <si>
    <t>STP apports loan from ADOT for Mar 2011 transaction</t>
  </si>
  <si>
    <t>PAG-L003</t>
  </si>
  <si>
    <t>2012</t>
  </si>
  <si>
    <t>La Canada</t>
  </si>
  <si>
    <t>STP loan from ADOT for La Canada project</t>
  </si>
  <si>
    <t>PAG-L001 and PAG-L003</t>
  </si>
  <si>
    <t>Final Repayment to ADOT for 2011 loans</t>
  </si>
  <si>
    <t>Partial Repayment to ADOT for 2011 and 2012 loans</t>
  </si>
  <si>
    <t>Repay 2011 March STP apports loan</t>
  </si>
  <si>
    <r>
      <rPr>
        <b/>
        <sz val="11"/>
        <color rgb="FFFF0000"/>
        <rFont val="Arial Unicode MS"/>
        <family val="2"/>
      </rPr>
      <t>DRAFT</t>
    </r>
    <r>
      <rPr>
        <sz val="11"/>
        <color theme="1"/>
        <rFont val="Arial Unicode MS"/>
        <family val="2"/>
      </rPr>
      <t xml:space="preserve"> data as of:</t>
    </r>
  </si>
  <si>
    <t>Remaining SAFETEA-LU  appotionments</t>
  </si>
  <si>
    <t>0</t>
  </si>
  <si>
    <t>TUC</t>
  </si>
  <si>
    <t xml:space="preserve">PIMA COUNTY                   </t>
  </si>
  <si>
    <t>PPM</t>
  </si>
  <si>
    <t>Current FFY
Apportionments /5</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</si>
  <si>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</si>
  <si>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2014</t>
  </si>
  <si>
    <t>Lapsing</t>
  </si>
  <si>
    <t>PAG-LP01</t>
  </si>
  <si>
    <t>None</t>
  </si>
  <si>
    <t>PAG LAPSING FUNDS - FFY14</t>
  </si>
  <si>
    <t>PAG-FY14L1</t>
  </si>
  <si>
    <t>2015</t>
  </si>
  <si>
    <t>ADOT OA LOAN TO PAG</t>
  </si>
  <si>
    <t>PAG OA Loan Repay to ADOT</t>
  </si>
  <si>
    <t>TUCSON</t>
  </si>
  <si>
    <t>Loan Out</t>
  </si>
  <si>
    <t>PAG-15L1</t>
  </si>
  <si>
    <t>2017</t>
  </si>
  <si>
    <t>PAG HSIP Loan to ADOT</t>
  </si>
  <si>
    <t>Repayment In</t>
  </si>
  <si>
    <t>228</t>
  </si>
  <si>
    <t>2016</t>
  </si>
  <si>
    <t>PAG STP Loan to ADOT</t>
  </si>
  <si>
    <t>PAGADOT-16L1</t>
  </si>
  <si>
    <t>SH56801C</t>
  </si>
  <si>
    <t>3.12</t>
  </si>
  <si>
    <t>4TH AVE /CONGRESS STREET/TOOLE AVE -CITY OF TUCSON</t>
  </si>
  <si>
    <t>247</t>
  </si>
  <si>
    <t>Federal Fiscal Year 2017</t>
  </si>
  <si>
    <t>VARIOUS</t>
  </si>
  <si>
    <t>SB41301C</t>
  </si>
  <si>
    <t>88.03</t>
  </si>
  <si>
    <t>MARANA</t>
  </si>
  <si>
    <t>INA BRIDGE OVER SANTA CRUZ</t>
  </si>
  <si>
    <t>MRN</t>
  </si>
  <si>
    <t>014</t>
  </si>
  <si>
    <t>State FY 17 Approved work program amount</t>
  </si>
  <si>
    <t>State FY 17 amount authorized prior to 09/30/16 or Lapsed FY16 funding</t>
  </si>
  <si>
    <t xml:space="preserve">State FY 17 amount available for authorization 10/01/16 - 06/30/17 </t>
  </si>
  <si>
    <t>State FY 18 amount avaiilable for authorization 07/1/17 - 09/30/17 (request must be submitted by 06/30/17)</t>
  </si>
  <si>
    <t>Total SPR apportionments for Federal Fiscal Year 17 (as shown on ledger)</t>
  </si>
  <si>
    <t>PPG1703P</t>
  </si>
  <si>
    <t>PAG STP W/ MATCH - 2017 PLANNING</t>
  </si>
  <si>
    <t>PCA</t>
  </si>
  <si>
    <t>T</t>
  </si>
  <si>
    <t>017</t>
  </si>
  <si>
    <t>PPG1704P</t>
  </si>
  <si>
    <t>N</t>
  </si>
  <si>
    <t>SIGN PANEL REPLACEMENT</t>
  </si>
  <si>
    <t>SL70101C</t>
  </si>
  <si>
    <t>81.10</t>
  </si>
  <si>
    <t>CAMINO DE LA TIERRA; RIVER RD - CDO RIVERPATH</t>
  </si>
  <si>
    <t>PPG1702P</t>
  </si>
  <si>
    <t>P</t>
  </si>
  <si>
    <t>5.12</t>
  </si>
  <si>
    <t>RUTHRAUFF RD TI</t>
  </si>
  <si>
    <t>010</t>
  </si>
  <si>
    <t>D</t>
  </si>
  <si>
    <t>213</t>
  </si>
  <si>
    <t>SS62401C</t>
  </si>
  <si>
    <t>61.07</t>
  </si>
  <si>
    <t>HOUGHTON ROAD (I-10 TO GOLF LINKS ROAD)</t>
  </si>
  <si>
    <t>201</t>
  </si>
  <si>
    <t>SZ12801C</t>
  </si>
  <si>
    <t>25.13</t>
  </si>
  <si>
    <t>BIKE SHARE PROGRAM</t>
  </si>
  <si>
    <t>259</t>
  </si>
  <si>
    <t>SZ12901X</t>
  </si>
  <si>
    <t>26.13</t>
  </si>
  <si>
    <t>BICYCLE AND PEDESTRIAN PROGRAM</t>
  </si>
  <si>
    <t>260</t>
  </si>
  <si>
    <t>PAG 105.08</t>
  </si>
  <si>
    <t>SH47101C</t>
  </si>
  <si>
    <t>Amendment 42-2010</t>
  </si>
  <si>
    <t>CITY OF TUCSON-VARIOUS LOCATIONS</t>
  </si>
  <si>
    <t>240</t>
  </si>
  <si>
    <t>The  OA/Apportionments rate for FFY 17 is 94.9%.  The rate for calculations is 0.949. This rate is subject to change based on additonal congressional action.</t>
  </si>
  <si>
    <t>H848001U</t>
  </si>
  <si>
    <t>SL63701C</t>
  </si>
  <si>
    <t>COLUMBUS BLVD: 22ND -TIMROD ST</t>
  </si>
  <si>
    <t>218</t>
  </si>
  <si>
    <t>PAG 20.16</t>
  </si>
  <si>
    <t>ARCADIA AVE-GRANT ST TO KENYON DR AND TIMROD ST</t>
  </si>
  <si>
    <t>PAG 22.15</t>
  </si>
  <si>
    <t>PAG 90.12</t>
  </si>
  <si>
    <t>63.14</t>
  </si>
  <si>
    <t>SS73003D</t>
  </si>
  <si>
    <t xml:space="preserve">PANTANO BOULEVARD                                 </t>
  </si>
  <si>
    <t>226</t>
  </si>
  <si>
    <t>SS73001C</t>
  </si>
  <si>
    <t>26.05</t>
  </si>
  <si>
    <t>PANTANO BOULEVARD</t>
  </si>
  <si>
    <t>RLTAP22P</t>
  </si>
  <si>
    <t>FY17 LTAP - LOCAL TECHNICAL ASSISTANCE PROGRAM</t>
  </si>
  <si>
    <t>094</t>
  </si>
  <si>
    <t>A</t>
  </si>
  <si>
    <t>287</t>
  </si>
  <si>
    <t>T012903D</t>
  </si>
  <si>
    <t>T014003D</t>
  </si>
  <si>
    <t>Pima County School Safety: White-Pistor Canada St: Hildreth Ave to Forrest Ave sidewalks and traffic calming</t>
  </si>
  <si>
    <t>PAG 2017 WP - PL</t>
  </si>
  <si>
    <t>PAG STP - 2017 PLANNING NO MATCH</t>
  </si>
  <si>
    <t>T014603D</t>
  </si>
  <si>
    <t>264</t>
  </si>
  <si>
    <t>PPG1803P</t>
  </si>
  <si>
    <t>PAG 2018 WP - STP MATCH</t>
  </si>
  <si>
    <t>018</t>
  </si>
  <si>
    <t>263</t>
  </si>
  <si>
    <t>Planned Lapsing - 06/30/17</t>
  </si>
  <si>
    <t>Lapsed - 07/01/17</t>
  </si>
  <si>
    <t>Planned Lapsing - 09/30/7</t>
  </si>
  <si>
    <t>Carry Forward to FFY 18</t>
  </si>
  <si>
    <t>SL59901C</t>
  </si>
  <si>
    <t>30.06</t>
  </si>
  <si>
    <t>Homer Davis: Romero Rd, Roger to Wetmore</t>
  </si>
  <si>
    <t>200</t>
  </si>
  <si>
    <t>SF02502D</t>
  </si>
  <si>
    <t>2ND ST AT OLIVE RD AND HIGHLAND AVE, TUCSON</t>
  </si>
  <si>
    <t>252</t>
  </si>
  <si>
    <t>PAGADOT-17L1</t>
  </si>
  <si>
    <t>2018</t>
  </si>
  <si>
    <t>TBD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</si>
</sst>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quot;$&quot;#,##0.0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0"/>
      <name val="Arial Unicode MS"/>
      <family val="2"/>
    </font>
    <font>
      <b/>
      <sz val="14"/>
      <name val="Calibri"/>
      <family val="2"/>
      <scheme val="minor"/>
    </font>
    <font>
      <sz val="9"/>
      <color theme="1"/>
      <name val="Arial Unicode MS"/>
      <family val="2"/>
    </font>
    <font>
      <sz val="11"/>
      <color theme="1"/>
      <name val="Calibri"/>
      <family val="2"/>
      <scheme val="minor"/>
    </font>
    <font>
      <sz val="9"/>
      <name val="Arial Unicode MS"/>
      <family val="2"/>
    </font>
    <font>
      <sz val="9"/>
      <color theme="1"/>
      <name val="Calibri"/>
      <family val="2"/>
      <scheme val="minor"/>
    </font>
    <font>
      <sz val="11"/>
      <color theme="1"/>
      <name val="Calibri"/>
      <family val="2"/>
      <scheme val="minor"/>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ont>
    <font>
      <sz val="11"/>
      <color theme="1"/>
      <name val="Calibri"/>
      <scheme val="minor"/>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D8E4B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227">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8" fontId="0" fillId="0" borderId="10"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0" fontId="14" fillId="0" borderId="0" xfId="0" applyFont="1" applyFill="1" applyAlignment="1">
      <alignment vertical="top" wrapText="1"/>
    </xf>
    <xf numFmtId="40" fontId="14" fillId="0" borderId="0" xfId="1" applyNumberFormat="1" applyFont="1" applyAlignment="1">
      <alignment vertical="top" wrapText="1"/>
    </xf>
    <xf numFmtId="164" fontId="14" fillId="0" borderId="0" xfId="0" applyNumberFormat="1" applyFont="1" applyAlignment="1">
      <alignment vertical="top" wrapText="1"/>
    </xf>
    <xf numFmtId="0" fontId="16" fillId="0" borderId="0" xfId="0" applyFont="1" applyAlignment="1">
      <alignment vertical="top" wrapText="1"/>
    </xf>
    <xf numFmtId="0" fontId="14" fillId="0" borderId="0" xfId="0" applyFont="1" applyFill="1" applyBorder="1" applyAlignment="1">
      <alignment vertical="top" wrapText="1"/>
    </xf>
    <xf numFmtId="0" fontId="16" fillId="0" borderId="0" xfId="0" applyFont="1" applyAlignment="1">
      <alignment horizontal="left" vertical="top" wrapText="1"/>
    </xf>
    <xf numFmtId="49" fontId="14" fillId="0" borderId="0" xfId="1" applyNumberFormat="1" applyFont="1" applyAlignment="1">
      <alignment vertical="top" wrapText="1"/>
    </xf>
    <xf numFmtId="40" fontId="22" fillId="0" borderId="0" xfId="0" applyNumberFormat="1" applyFont="1" applyFill="1" applyBorder="1" applyAlignment="1">
      <alignment vertical="top" wrapText="1"/>
    </xf>
    <xf numFmtId="14" fontId="14" fillId="0" borderId="0" xfId="0" applyNumberFormat="1" applyFont="1" applyAlignment="1">
      <alignment horizontal="left" vertical="center" wrapText="1"/>
    </xf>
    <xf numFmtId="0" fontId="14" fillId="0" borderId="0" xfId="0" applyFont="1" applyAlignment="1">
      <alignment horizontal="left" vertical="top" wrapText="1"/>
    </xf>
    <xf numFmtId="40" fontId="21" fillId="0" borderId="0" xfId="0" applyNumberFormat="1" applyFont="1" applyBorder="1" applyAlignment="1">
      <alignment horizontal="left" vertical="top" wrapText="1"/>
    </xf>
    <xf numFmtId="40" fontId="21"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2" fillId="0" borderId="0" xfId="0" applyNumberFormat="1" applyFont="1" applyBorder="1" applyAlignment="1">
      <alignment vertical="top" wrapText="1"/>
    </xf>
    <xf numFmtId="40" fontId="28" fillId="0" borderId="0" xfId="0" applyNumberFormat="1" applyFont="1" applyFill="1" applyBorder="1" applyAlignment="1">
      <alignment horizontal="right" vertical="top" wrapText="1"/>
    </xf>
    <xf numFmtId="40" fontId="14" fillId="0" borderId="0" xfId="0" applyNumberFormat="1" applyFont="1" applyFill="1" applyBorder="1" applyAlignment="1">
      <alignment vertical="top" wrapText="1"/>
    </xf>
    <xf numFmtId="0" fontId="14" fillId="0" borderId="0" xfId="0" applyFont="1" applyBorder="1" applyAlignment="1">
      <alignment vertical="top" wrapText="1"/>
    </xf>
    <xf numFmtId="40" fontId="14" fillId="0" borderId="0" xfId="0" applyNumberFormat="1" applyFont="1" applyBorder="1" applyAlignment="1">
      <alignment vertical="top" wrapText="1"/>
    </xf>
    <xf numFmtId="0" fontId="18" fillId="0" borderId="0" xfId="0" applyFont="1" applyBorder="1" applyAlignment="1">
      <alignment vertical="top" wrapText="1"/>
    </xf>
    <xf numFmtId="0" fontId="22" fillId="0" borderId="0" xfId="0" applyFont="1" applyBorder="1" applyAlignment="1">
      <alignment horizontal="center" vertical="center" wrapText="1"/>
    </xf>
    <xf numFmtId="0" fontId="22" fillId="0" borderId="0" xfId="0" applyFont="1" applyFill="1" applyBorder="1" applyAlignment="1">
      <alignment horizontal="center" vertical="center" wrapText="1"/>
    </xf>
    <xf numFmtId="40" fontId="22" fillId="0" borderId="0" xfId="0" applyNumberFormat="1" applyFont="1" applyBorder="1" applyAlignment="1">
      <alignment horizontal="center" vertical="center" wrapText="1"/>
    </xf>
    <xf numFmtId="40" fontId="18" fillId="0" borderId="0" xfId="0" applyNumberFormat="1" applyFont="1" applyBorder="1" applyAlignment="1">
      <alignment vertical="top" wrapText="1"/>
    </xf>
    <xf numFmtId="43" fontId="0" fillId="0" borderId="1" xfId="3" applyFont="1" applyBorder="1"/>
    <xf numFmtId="43" fontId="13" fillId="0" borderId="1" xfId="3" applyFont="1" applyBorder="1"/>
    <xf numFmtId="43" fontId="0" fillId="0" borderId="8" xfId="3" applyFont="1" applyBorder="1"/>
    <xf numFmtId="43" fontId="13" fillId="0" borderId="8" xfId="3" applyFont="1" applyBorder="1"/>
    <xf numFmtId="43" fontId="13" fillId="0" borderId="2" xfId="3" applyFont="1" applyBorder="1"/>
    <xf numFmtId="43" fontId="13" fillId="0" borderId="9" xfId="3" applyFont="1" applyBorder="1"/>
    <xf numFmtId="43" fontId="13" fillId="0" borderId="4" xfId="3" applyFont="1" applyBorder="1"/>
    <xf numFmtId="43" fontId="13" fillId="0" borderId="5" xfId="3" applyFont="1" applyBorder="1"/>
    <xf numFmtId="14" fontId="0" fillId="0" borderId="0" xfId="3" applyNumberFormat="1" applyFont="1" applyAlignment="1">
      <alignment horizontal="left" vertical="center" wrapText="1"/>
    </xf>
    <xf numFmtId="14" fontId="14" fillId="0" borderId="0" xfId="0" applyNumberFormat="1" applyFont="1" applyAlignment="1">
      <alignment vertical="center" wrapText="1"/>
    </xf>
    <xf numFmtId="40" fontId="17" fillId="0" borderId="3" xfId="1" applyNumberFormat="1" applyFont="1" applyFill="1" applyBorder="1" applyAlignment="1">
      <alignment horizontal="center" vertical="center" wrapText="1"/>
    </xf>
    <xf numFmtId="0" fontId="14" fillId="0" borderId="0" xfId="0" applyFont="1" applyAlignment="1">
      <alignment horizontal="left" vertical="top" wrapText="1"/>
    </xf>
    <xf numFmtId="0" fontId="16" fillId="0" borderId="0" xfId="0" applyFont="1" applyAlignment="1">
      <alignment horizontal="left" vertical="top" wrapText="1"/>
    </xf>
    <xf numFmtId="43" fontId="13" fillId="0" borderId="0" xfId="3" applyFont="1" applyBorder="1"/>
    <xf numFmtId="43" fontId="0" fillId="0" borderId="6" xfId="3" applyFont="1" applyBorder="1"/>
    <xf numFmtId="43" fontId="0" fillId="0" borderId="3" xfId="3" applyFont="1" applyBorder="1"/>
    <xf numFmtId="43" fontId="0" fillId="0" borderId="7" xfId="3" applyFont="1" applyBorder="1"/>
    <xf numFmtId="40" fontId="18" fillId="0" borderId="0" xfId="3" applyNumberFormat="1" applyFont="1" applyBorder="1" applyAlignment="1">
      <alignment vertical="top" wrapText="1"/>
    </xf>
    <xf numFmtId="14" fontId="14" fillId="0" borderId="0" xfId="0" applyNumberFormat="1" applyFont="1" applyAlignment="1">
      <alignment horizontal="center" vertical="center" wrapText="1"/>
    </xf>
    <xf numFmtId="14" fontId="14" fillId="0" borderId="0" xfId="0" applyNumberFormat="1" applyFont="1" applyBorder="1" applyAlignment="1">
      <alignment horizontal="center" vertical="center" wrapText="1"/>
    </xf>
    <xf numFmtId="14" fontId="24" fillId="0" borderId="0" xfId="0" applyNumberFormat="1" applyFont="1" applyBorder="1" applyAlignment="1">
      <alignment horizontal="center" vertical="center" wrapText="1"/>
    </xf>
    <xf numFmtId="40" fontId="14" fillId="0" borderId="0" xfId="0" applyNumberFormat="1" applyFont="1" applyFill="1" applyAlignment="1">
      <alignment vertical="top" wrapText="1"/>
    </xf>
    <xf numFmtId="40" fontId="14" fillId="0" borderId="0" xfId="0" quotePrefix="1" applyNumberFormat="1" applyFont="1" applyAlignment="1">
      <alignment vertical="top" wrapText="1"/>
    </xf>
    <xf numFmtId="40" fontId="27" fillId="0" borderId="0" xfId="1" applyNumberFormat="1" applyFont="1" applyFill="1" applyBorder="1" applyAlignment="1">
      <alignment vertical="center" wrapText="1"/>
    </xf>
    <xf numFmtId="0" fontId="18" fillId="0" borderId="0" xfId="0" applyFont="1" applyBorder="1" applyAlignment="1">
      <alignment horizontal="left" vertical="top" wrapText="1"/>
    </xf>
    <xf numFmtId="14" fontId="17" fillId="0" borderId="6" xfId="1" applyNumberFormat="1" applyFont="1" applyFill="1" applyBorder="1" applyAlignment="1">
      <alignment horizontal="center" vertical="center" wrapText="1"/>
    </xf>
    <xf numFmtId="40" fontId="17" fillId="2" borderId="7" xfId="1" applyNumberFormat="1" applyFont="1" applyFill="1" applyBorder="1" applyAlignment="1">
      <alignment horizontal="center" vertical="center" wrapText="1"/>
    </xf>
    <xf numFmtId="40" fontId="18" fillId="0" borderId="0" xfId="0" applyNumberFormat="1" applyFont="1" applyBorder="1" applyAlignment="1">
      <alignment horizontal="right" vertical="center" wrapText="1"/>
    </xf>
    <xf numFmtId="40" fontId="16" fillId="0" borderId="0" xfId="0" applyNumberFormat="1" applyFont="1" applyBorder="1" applyAlignment="1">
      <alignment vertical="center" wrapText="1"/>
    </xf>
    <xf numFmtId="14" fontId="18" fillId="0" borderId="8" xfId="0" applyNumberFormat="1" applyFont="1" applyBorder="1" applyAlignment="1">
      <alignment horizontal="left" vertical="center" wrapText="1"/>
    </xf>
    <xf numFmtId="14" fontId="18" fillId="0" borderId="8" xfId="0" applyNumberFormat="1" applyFont="1" applyFill="1" applyBorder="1" applyAlignment="1">
      <alignment horizontal="left" vertical="center" wrapText="1"/>
    </xf>
    <xf numFmtId="14" fontId="24" fillId="0" borderId="18" xfId="0" applyNumberFormat="1" applyFont="1" applyBorder="1" applyAlignment="1">
      <alignment horizontal="left" vertical="center" wrapText="1"/>
    </xf>
    <xf numFmtId="40" fontId="21" fillId="0" borderId="0" xfId="0" applyNumberFormat="1" applyFont="1" applyBorder="1" applyAlignment="1">
      <alignment horizontal="center" vertical="top" wrapText="1"/>
    </xf>
    <xf numFmtId="40" fontId="22" fillId="0" borderId="0" xfId="0" applyNumberFormat="1" applyFont="1" applyAlignment="1">
      <alignment horizontal="center" vertical="top" wrapText="1"/>
    </xf>
    <xf numFmtId="40" fontId="22" fillId="0" borderId="0" xfId="0" applyNumberFormat="1" applyFont="1" applyBorder="1" applyAlignment="1">
      <alignment horizontal="center" vertical="top" wrapText="1"/>
    </xf>
    <xf numFmtId="40" fontId="22" fillId="2" borderId="0" xfId="0" applyNumberFormat="1" applyFont="1" applyFill="1" applyBorder="1" applyAlignment="1">
      <alignment horizontal="center" vertical="top" wrapText="1"/>
    </xf>
    <xf numFmtId="0" fontId="0" fillId="0" borderId="0" xfId="0" applyAlignment="1">
      <alignment vertical="top" wrapText="1"/>
    </xf>
    <xf numFmtId="14" fontId="18" fillId="0" borderId="0" xfId="0" applyNumberFormat="1" applyFont="1" applyAlignment="1">
      <alignment horizontal="center" vertical="top" wrapText="1"/>
    </xf>
    <xf numFmtId="14" fontId="18" fillId="0" borderId="0" xfId="0" applyNumberFormat="1" applyFont="1" applyBorder="1" applyAlignment="1">
      <alignment horizontal="center" vertical="top" wrapText="1"/>
    </xf>
    <xf numFmtId="40" fontId="18" fillId="0" borderId="0" xfId="0" applyNumberFormat="1" applyFont="1" applyBorder="1" applyAlignment="1">
      <alignment horizontal="right" vertical="top" wrapText="1"/>
    </xf>
    <xf numFmtId="0" fontId="18" fillId="0" borderId="0" xfId="0" applyFont="1" applyBorder="1" applyAlignment="1">
      <alignment horizontal="center" vertical="top" wrapText="1"/>
    </xf>
    <xf numFmtId="40" fontId="18" fillId="0" borderId="0" xfId="0" applyNumberFormat="1" applyFont="1" applyBorder="1" applyAlignment="1">
      <alignment horizontal="center" vertical="top" wrapText="1"/>
    </xf>
    <xf numFmtId="40" fontId="18" fillId="0" borderId="0" xfId="0" applyNumberFormat="1" applyFont="1" applyAlignment="1">
      <alignment horizontal="center" vertical="top" wrapText="1"/>
    </xf>
    <xf numFmtId="14" fontId="14" fillId="0" borderId="0" xfId="0" applyNumberFormat="1" applyFont="1" applyBorder="1" applyAlignment="1">
      <alignment horizontal="center" vertical="top" wrapText="1"/>
    </xf>
    <xf numFmtId="14" fontId="21" fillId="0" borderId="0" xfId="0" applyNumberFormat="1" applyFont="1" applyBorder="1" applyAlignment="1">
      <alignment horizontal="center" vertical="top" wrapText="1"/>
    </xf>
    <xf numFmtId="40" fontId="17" fillId="0" borderId="12" xfId="1" applyNumberFormat="1" applyFont="1" applyBorder="1" applyAlignment="1">
      <alignment horizontal="center" vertical="top" wrapText="1"/>
    </xf>
    <xf numFmtId="40" fontId="17" fillId="2" borderId="17" xfId="1" applyNumberFormat="1" applyFont="1" applyFill="1" applyBorder="1" applyAlignment="1">
      <alignment horizontal="center" vertical="top" wrapText="1"/>
    </xf>
    <xf numFmtId="40" fontId="18" fillId="2" borderId="0" xfId="0" applyNumberFormat="1" applyFont="1" applyFill="1" applyBorder="1" applyAlignment="1">
      <alignment horizontal="center" vertical="top" wrapText="1"/>
    </xf>
    <xf numFmtId="14" fontId="24" fillId="0" borderId="3" xfId="0" applyNumberFormat="1" applyFont="1" applyBorder="1" applyAlignment="1">
      <alignment horizontal="center" vertical="top" wrapText="1"/>
    </xf>
    <xf numFmtId="14" fontId="24" fillId="0" borderId="1" xfId="0" applyNumberFormat="1" applyFont="1" applyBorder="1" applyAlignment="1">
      <alignment horizontal="center" vertical="top" wrapText="1"/>
    </xf>
    <xf numFmtId="0" fontId="18"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40" fontId="18" fillId="0" borderId="0" xfId="0" applyNumberFormat="1" applyFont="1" applyFill="1" applyBorder="1" applyAlignment="1">
      <alignment vertical="top" wrapText="1"/>
    </xf>
    <xf numFmtId="164" fontId="18" fillId="0" borderId="0" xfId="0" applyNumberFormat="1" applyFont="1" applyBorder="1" applyAlignment="1">
      <alignment vertical="top" wrapText="1"/>
    </xf>
    <xf numFmtId="40" fontId="24" fillId="0" borderId="0" xfId="0" applyNumberFormat="1" applyFont="1" applyBorder="1" applyAlignment="1">
      <alignment horizontal="center" vertical="top" wrapText="1"/>
    </xf>
    <xf numFmtId="40" fontId="18" fillId="0" borderId="0" xfId="0" applyNumberFormat="1" applyFont="1" applyBorder="1" applyAlignment="1">
      <alignment horizontal="right" vertical="top"/>
    </xf>
    <xf numFmtId="40" fontId="18" fillId="0" borderId="0" xfId="0" applyNumberFormat="1" applyFont="1" applyBorder="1" applyAlignment="1">
      <alignment vertical="top"/>
    </xf>
    <xf numFmtId="43" fontId="31" fillId="0" borderId="8" xfId="3" applyFont="1" applyBorder="1"/>
    <xf numFmtId="43" fontId="31" fillId="0" borderId="1" xfId="3" applyFont="1" applyBorder="1"/>
    <xf numFmtId="43" fontId="31" fillId="0" borderId="2" xfId="3" applyFont="1" applyBorder="1"/>
    <xf numFmtId="14" fontId="20" fillId="0" borderId="0" xfId="0" applyNumberFormat="1" applyFont="1" applyBorder="1" applyAlignment="1">
      <alignment horizontal="right" vertical="top"/>
    </xf>
    <xf numFmtId="14" fontId="24" fillId="0" borderId="0" xfId="0" applyNumberFormat="1" applyFont="1" applyBorder="1" applyAlignment="1">
      <alignment horizontal="right" vertical="top"/>
    </xf>
    <xf numFmtId="40" fontId="18" fillId="0" borderId="1" xfId="3" applyNumberFormat="1" applyFont="1" applyBorder="1" applyAlignment="1">
      <alignment vertical="top"/>
    </xf>
    <xf numFmtId="40" fontId="18" fillId="0" borderId="2" xfId="3" applyNumberFormat="1" applyFont="1" applyBorder="1" applyAlignment="1">
      <alignment vertical="top"/>
    </xf>
    <xf numFmtId="40" fontId="30" fillId="0" borderId="21" xfId="3" applyNumberFormat="1" applyFont="1" applyBorder="1" applyAlignment="1">
      <alignment vertical="top"/>
    </xf>
    <xf numFmtId="40" fontId="18" fillId="0" borderId="0" xfId="3" applyNumberFormat="1" applyFont="1" applyBorder="1" applyAlignment="1">
      <alignment vertical="top"/>
    </xf>
    <xf numFmtId="40" fontId="18" fillId="0" borderId="9" xfId="3" applyNumberFormat="1" applyFont="1" applyFill="1" applyBorder="1" applyAlignment="1">
      <alignment vertical="top"/>
    </xf>
    <xf numFmtId="40" fontId="18" fillId="0" borderId="5" xfId="3" applyNumberFormat="1" applyFont="1" applyFill="1" applyBorder="1" applyAlignment="1">
      <alignment vertical="top"/>
    </xf>
    <xf numFmtId="40" fontId="25" fillId="0" borderId="2" xfId="3" applyNumberFormat="1" applyFont="1" applyBorder="1" applyAlignment="1">
      <alignment vertical="top"/>
    </xf>
    <xf numFmtId="40" fontId="32" fillId="0" borderId="2" xfId="3" applyNumberFormat="1" applyFont="1" applyBorder="1" applyAlignment="1">
      <alignment vertical="top"/>
    </xf>
    <xf numFmtId="40" fontId="18" fillId="0" borderId="0" xfId="0" applyNumberFormat="1" applyFont="1" applyAlignment="1">
      <alignment vertical="top" wrapText="1"/>
    </xf>
    <xf numFmtId="40" fontId="18" fillId="0" borderId="0" xfId="0" applyNumberFormat="1" applyFont="1" applyAlignment="1">
      <alignment horizontal="left" vertical="top" wrapText="1"/>
    </xf>
    <xf numFmtId="14" fontId="18" fillId="0" borderId="0" xfId="0" applyNumberFormat="1" applyFont="1" applyAlignment="1">
      <alignment vertical="top" wrapText="1"/>
    </xf>
    <xf numFmtId="0" fontId="18" fillId="0" borderId="0" xfId="0" applyFont="1" applyFill="1" applyBorder="1" applyAlignment="1">
      <alignment vertical="top" wrapText="1"/>
    </xf>
    <xf numFmtId="0" fontId="33" fillId="0" borderId="0" xfId="0" applyFont="1" applyAlignment="1">
      <alignment vertical="top" wrapText="1"/>
    </xf>
    <xf numFmtId="40" fontId="18" fillId="0" borderId="3" xfId="0" applyNumberFormat="1" applyFont="1" applyFill="1" applyBorder="1" applyAlignment="1">
      <alignment horizontal="right" vertical="top"/>
    </xf>
    <xf numFmtId="40" fontId="18" fillId="0" borderId="1" xfId="0" applyNumberFormat="1" applyFont="1" applyFill="1" applyBorder="1" applyAlignment="1">
      <alignment horizontal="right" vertical="top"/>
    </xf>
    <xf numFmtId="40" fontId="18" fillId="0" borderId="1" xfId="0" applyNumberFormat="1" applyFont="1" applyFill="1" applyBorder="1" applyAlignment="1">
      <alignment vertical="top"/>
    </xf>
    <xf numFmtId="40" fontId="18" fillId="0" borderId="0" xfId="0" applyNumberFormat="1" applyFont="1" applyBorder="1" applyAlignment="1">
      <alignment horizontal="center" vertical="center" wrapText="1"/>
    </xf>
    <xf numFmtId="43" fontId="0" fillId="0" borderId="9" xfId="3" applyFont="1" applyBorder="1"/>
    <xf numFmtId="43" fontId="0" fillId="0" borderId="4" xfId="3" applyFont="1" applyBorder="1"/>
    <xf numFmtId="43" fontId="0" fillId="0" borderId="5" xfId="3" applyFont="1" applyBorder="1"/>
    <xf numFmtId="43" fontId="0" fillId="0" borderId="23" xfId="3" applyFont="1" applyBorder="1"/>
    <xf numFmtId="43" fontId="0" fillId="0" borderId="24" xfId="3" applyFont="1" applyBorder="1"/>
    <xf numFmtId="43" fontId="0" fillId="0" borderId="22" xfId="3" applyFont="1" applyBorder="1"/>
    <xf numFmtId="40" fontId="18" fillId="0" borderId="0" xfId="3" applyNumberFormat="1" applyFont="1" applyAlignment="1">
      <alignment horizontal="right" vertical="top"/>
    </xf>
    <xf numFmtId="40" fontId="18" fillId="0" borderId="1" xfId="0" applyNumberFormat="1" applyFont="1" applyBorder="1" applyAlignment="1">
      <alignment vertical="top"/>
    </xf>
    <xf numFmtId="40" fontId="18" fillId="0" borderId="2" xfId="0" applyNumberFormat="1" applyFont="1" applyBorder="1" applyAlignment="1">
      <alignment vertical="top"/>
    </xf>
    <xf numFmtId="40" fontId="18" fillId="0" borderId="2" xfId="0" applyNumberFormat="1" applyFont="1" applyFill="1" applyBorder="1" applyAlignment="1">
      <alignment vertical="top"/>
    </xf>
    <xf numFmtId="40" fontId="24" fillId="0" borderId="19" xfId="0" applyNumberFormat="1" applyFont="1" applyFill="1" applyBorder="1" applyAlignment="1">
      <alignment vertical="top"/>
    </xf>
    <xf numFmtId="40" fontId="24" fillId="0" borderId="20" xfId="0" applyNumberFormat="1" applyFont="1" applyFill="1" applyBorder="1" applyAlignment="1">
      <alignment vertical="top"/>
    </xf>
    <xf numFmtId="0" fontId="18" fillId="0" borderId="0" xfId="0" applyFont="1" applyAlignment="1">
      <alignment vertical="top"/>
    </xf>
    <xf numFmtId="0" fontId="18" fillId="0" borderId="0" xfId="0" applyFont="1" applyBorder="1" applyAlignment="1">
      <alignment horizontal="left" vertical="top"/>
    </xf>
    <xf numFmtId="0" fontId="18" fillId="0" borderId="0" xfId="0" applyFont="1" applyAlignment="1">
      <alignment wrapText="1"/>
    </xf>
    <xf numFmtId="43" fontId="34" fillId="0" borderId="0" xfId="3" applyFont="1"/>
    <xf numFmtId="43" fontId="34" fillId="0" borderId="9" xfId="3" applyFont="1" applyBorder="1"/>
    <xf numFmtId="43" fontId="34" fillId="0" borderId="23" xfId="3" applyFont="1" applyBorder="1"/>
    <xf numFmtId="43" fontId="34" fillId="0" borderId="4" xfId="3" applyFont="1" applyBorder="1"/>
    <xf numFmtId="43" fontId="34" fillId="0" borderId="24" xfId="3" applyFont="1" applyBorder="1"/>
    <xf numFmtId="43" fontId="34" fillId="0" borderId="5" xfId="3" applyFont="1" applyBorder="1"/>
    <xf numFmtId="43" fontId="34" fillId="0" borderId="22" xfId="3" applyFont="1" applyBorder="1"/>
    <xf numFmtId="0" fontId="0" fillId="0" borderId="0" xfId="0" applyAlignment="1">
      <alignment horizontal="left" vertical="top" wrapText="1"/>
    </xf>
    <xf numFmtId="40" fontId="35" fillId="0" borderId="0" xfId="0" applyNumberFormat="1" applyFont="1" applyAlignment="1">
      <alignment vertical="top" wrapText="1"/>
    </xf>
    <xf numFmtId="40" fontId="35" fillId="0" borderId="0" xfId="0" applyNumberFormat="1" applyFont="1" applyAlignment="1">
      <alignment horizontal="left" vertical="top" wrapText="1"/>
    </xf>
    <xf numFmtId="14" fontId="35" fillId="0" borderId="0" xfId="0" applyNumberFormat="1" applyFont="1" applyAlignment="1">
      <alignment horizontal="center" vertical="top" wrapText="1"/>
    </xf>
    <xf numFmtId="14" fontId="35" fillId="0" borderId="0" xfId="0" applyNumberFormat="1" applyFont="1" applyAlignment="1">
      <alignment vertical="top" wrapText="1"/>
    </xf>
    <xf numFmtId="40" fontId="35" fillId="0" borderId="0" xfId="3" applyNumberFormat="1" applyFont="1" applyAlignment="1">
      <alignment horizontal="right" vertical="top"/>
    </xf>
    <xf numFmtId="40" fontId="36" fillId="0" borderId="0" xfId="0" applyNumberFormat="1" applyFont="1" applyAlignment="1">
      <alignment vertical="top" wrapText="1"/>
    </xf>
    <xf numFmtId="40" fontId="36" fillId="0" borderId="0" xfId="0" applyNumberFormat="1" applyFont="1" applyAlignment="1">
      <alignment horizontal="left" vertical="top" wrapText="1"/>
    </xf>
    <xf numFmtId="14" fontId="36" fillId="0" borderId="0" xfId="0" applyNumberFormat="1" applyFont="1" applyAlignment="1">
      <alignment vertical="top" wrapText="1"/>
    </xf>
    <xf numFmtId="14" fontId="36" fillId="0" borderId="0" xfId="0" applyNumberFormat="1" applyFont="1" applyAlignment="1">
      <alignment horizontal="center" vertical="top" wrapText="1"/>
    </xf>
    <xf numFmtId="40" fontId="36" fillId="0" borderId="0" xfId="3" applyNumberFormat="1" applyFont="1" applyAlignment="1">
      <alignment horizontal="right" vertical="top"/>
    </xf>
    <xf numFmtId="40" fontId="37" fillId="0" borderId="0" xfId="0" applyNumberFormat="1" applyFont="1" applyAlignment="1">
      <alignment vertical="top" wrapText="1"/>
    </xf>
    <xf numFmtId="40" fontId="37" fillId="0" borderId="0" xfId="0" applyNumberFormat="1" applyFont="1" applyAlignment="1">
      <alignment horizontal="left" vertical="top" wrapText="1"/>
    </xf>
    <xf numFmtId="14" fontId="37" fillId="0" borderId="0" xfId="0" applyNumberFormat="1" applyFont="1" applyAlignment="1">
      <alignment vertical="top" wrapText="1"/>
    </xf>
    <xf numFmtId="14" fontId="37" fillId="0" borderId="0" xfId="0" applyNumberFormat="1" applyFont="1" applyAlignment="1">
      <alignment horizontal="center" vertical="top" wrapText="1"/>
    </xf>
    <xf numFmtId="40" fontId="37" fillId="0" borderId="0" xfId="3" applyNumberFormat="1" applyFont="1" applyAlignment="1">
      <alignment horizontal="right" vertical="top"/>
    </xf>
    <xf numFmtId="40" fontId="38" fillId="0" borderId="0" xfId="0" applyNumberFormat="1" applyFont="1" applyAlignment="1">
      <alignment vertical="top" wrapText="1"/>
    </xf>
    <xf numFmtId="40" fontId="38" fillId="0" borderId="0" xfId="0" applyNumberFormat="1" applyFont="1" applyAlignment="1">
      <alignment horizontal="left" vertical="top" wrapText="1"/>
    </xf>
    <xf numFmtId="14" fontId="38" fillId="0" borderId="0" xfId="0" applyNumberFormat="1" applyFont="1" applyAlignment="1">
      <alignment vertical="top" wrapText="1"/>
    </xf>
    <xf numFmtId="14" fontId="38" fillId="0" borderId="0" xfId="0" applyNumberFormat="1" applyFont="1" applyAlignment="1">
      <alignment horizontal="center" vertical="top" wrapText="1"/>
    </xf>
    <xf numFmtId="40" fontId="38" fillId="0" borderId="0" xfId="3" applyNumberFormat="1" applyFont="1" applyAlignment="1">
      <alignment horizontal="right" vertical="top"/>
    </xf>
    <xf numFmtId="40" fontId="39" fillId="0" borderId="0" xfId="0" applyNumberFormat="1" applyFont="1" applyAlignment="1">
      <alignment vertical="top" wrapText="1"/>
    </xf>
    <xf numFmtId="40" fontId="39" fillId="0" borderId="0" xfId="0" applyNumberFormat="1" applyFont="1" applyAlignment="1">
      <alignment horizontal="left" vertical="top" wrapText="1"/>
    </xf>
    <xf numFmtId="14" fontId="39" fillId="0" borderId="0" xfId="0" applyNumberFormat="1" applyFont="1" applyAlignment="1">
      <alignment vertical="top" wrapText="1"/>
    </xf>
    <xf numFmtId="14" fontId="39" fillId="0" borderId="0" xfId="0" applyNumberFormat="1" applyFont="1" applyAlignment="1">
      <alignment horizontal="center" vertical="top" wrapText="1"/>
    </xf>
    <xf numFmtId="40" fontId="39" fillId="0" borderId="0" xfId="3" applyNumberFormat="1" applyFont="1" applyAlignment="1">
      <alignment horizontal="right" vertical="top"/>
    </xf>
    <xf numFmtId="40" fontId="40" fillId="0" borderId="0" xfId="0" applyNumberFormat="1" applyFont="1" applyAlignment="1">
      <alignment vertical="top" wrapText="1"/>
    </xf>
    <xf numFmtId="40" fontId="40" fillId="0" borderId="0" xfId="0" applyNumberFormat="1" applyFont="1" applyAlignment="1">
      <alignment horizontal="left" vertical="top" wrapText="1"/>
    </xf>
    <xf numFmtId="14" fontId="40" fillId="0" borderId="0" xfId="0" applyNumberFormat="1" applyFont="1" applyAlignment="1">
      <alignment vertical="top" wrapText="1"/>
    </xf>
    <xf numFmtId="14" fontId="40" fillId="0" borderId="0" xfId="0" applyNumberFormat="1" applyFont="1" applyAlignment="1">
      <alignment horizontal="center" vertical="top" wrapText="1"/>
    </xf>
    <xf numFmtId="40" fontId="40" fillId="0" borderId="0" xfId="3" applyNumberFormat="1" applyFont="1" applyAlignment="1">
      <alignment horizontal="right" vertical="top"/>
    </xf>
    <xf numFmtId="43" fontId="41" fillId="0" borderId="0" xfId="3" applyFont="1"/>
    <xf numFmtId="43" fontId="41" fillId="0" borderId="9" xfId="3" applyFont="1" applyBorder="1"/>
    <xf numFmtId="43" fontId="41" fillId="0" borderId="23" xfId="3" applyFont="1" applyBorder="1"/>
    <xf numFmtId="43" fontId="41" fillId="0" borderId="4" xfId="3" applyFont="1" applyBorder="1"/>
    <xf numFmtId="43" fontId="41" fillId="0" borderId="24" xfId="3" applyFont="1" applyBorder="1"/>
    <xf numFmtId="43" fontId="41" fillId="0" borderId="5" xfId="3" applyFont="1" applyBorder="1"/>
    <xf numFmtId="43" fontId="41" fillId="0" borderId="22" xfId="3" applyFont="1" applyBorder="1"/>
    <xf numFmtId="0" fontId="26" fillId="0" borderId="0" xfId="0" applyFont="1" applyAlignment="1">
      <alignment horizontal="left" vertical="top" wrapText="1"/>
    </xf>
    <xf numFmtId="40" fontId="27" fillId="4" borderId="13" xfId="1" applyNumberFormat="1" applyFont="1" applyFill="1" applyBorder="1" applyAlignment="1">
      <alignment horizontal="center" vertical="center" wrapText="1"/>
    </xf>
    <xf numFmtId="40" fontId="27" fillId="4" borderId="14" xfId="1" applyNumberFormat="1" applyFont="1" applyFill="1" applyBorder="1" applyAlignment="1">
      <alignment horizontal="center" vertical="center" wrapText="1"/>
    </xf>
    <xf numFmtId="40" fontId="27" fillId="4" borderId="15" xfId="1" applyNumberFormat="1" applyFont="1" applyFill="1" applyBorder="1" applyAlignment="1">
      <alignment horizontal="center" vertical="center" wrapText="1"/>
    </xf>
    <xf numFmtId="40" fontId="21" fillId="0" borderId="0" xfId="0" applyNumberFormat="1" applyFont="1" applyBorder="1" applyAlignment="1">
      <alignment horizontal="center" vertical="top" wrapText="1"/>
    </xf>
    <xf numFmtId="40" fontId="16" fillId="0" borderId="16" xfId="0" applyNumberFormat="1" applyFont="1" applyBorder="1" applyAlignment="1">
      <alignment horizontal="center" vertical="center" wrapText="1"/>
    </xf>
    <xf numFmtId="40" fontId="16" fillId="0" borderId="0" xfId="0" applyNumberFormat="1" applyFont="1" applyBorder="1" applyAlignment="1">
      <alignment horizontal="center" vertical="center" wrapText="1"/>
    </xf>
    <xf numFmtId="0" fontId="29" fillId="0" borderId="0" xfId="0" applyFont="1" applyAlignment="1">
      <alignment horizontal="left" vertical="top" wrapText="1"/>
    </xf>
    <xf numFmtId="0" fontId="14" fillId="0" borderId="0" xfId="0" applyFont="1" applyAlignment="1">
      <alignment horizontal="left" vertical="top" wrapText="1"/>
    </xf>
    <xf numFmtId="0" fontId="16" fillId="0" borderId="0" xfId="0" applyFont="1" applyAlignment="1">
      <alignment horizontal="left" vertical="top" wrapText="1"/>
    </xf>
    <xf numFmtId="14" fontId="16" fillId="0" borderId="5" xfId="0" applyNumberFormat="1" applyFont="1" applyBorder="1" applyAlignment="1">
      <alignment horizontal="center" vertical="center" wrapText="1"/>
    </xf>
    <xf numFmtId="14" fontId="16" fillId="0" borderId="11" xfId="0" applyNumberFormat="1" applyFont="1" applyBorder="1" applyAlignment="1">
      <alignment horizontal="center" vertical="center" wrapText="1"/>
    </xf>
    <xf numFmtId="14" fontId="16" fillId="0" borderId="9" xfId="0" applyNumberFormat="1" applyFont="1" applyBorder="1" applyAlignment="1">
      <alignment horizontal="center" vertical="center" wrapText="1"/>
    </xf>
    <xf numFmtId="0" fontId="14" fillId="0" borderId="0" xfId="0" applyFont="1" applyAlignment="1">
      <alignment horizontal="left" vertical="center"/>
    </xf>
    <xf numFmtId="0" fontId="26" fillId="0" borderId="0" xfId="0" applyFont="1" applyAlignment="1">
      <alignment vertical="top"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0" fontId="2" fillId="0" borderId="0" xfId="0"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4">
    <cellStyle name="Comma" xfId="3" builtinId="3"/>
    <cellStyle name="Currency" xfId="1" builtinId="4"/>
    <cellStyle name="Normal" xfId="0" builtinId="0"/>
    <cellStyle name="Normal_Notes" xfId="2"/>
  </cellStyles>
  <dxfs count="127">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left"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bottom"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right style="thin">
          <color indexed="64"/>
        </right>
        <top style="thin">
          <color indexed="64"/>
        </top>
        <bottom/>
        <vertical/>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10"/>
        <color theme="1"/>
        <name val="Arial Unicode MS"/>
        <scheme val="none"/>
      </font>
      <numFmt numFmtId="8" formatCode="#,##0.00_);[Red]\(#,##0.00\)"/>
      <alignment horizontal="center" vertical="top" textRotation="0" wrapText="1" indent="0" justifyLastLine="0" shrinkToFit="0" readingOrder="0"/>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strike val="0"/>
        <outline val="0"/>
        <shadow val="0"/>
        <u val="none"/>
        <vertAlign val="baseline"/>
        <sz val="9"/>
        <name val="Arial Unicode MS"/>
        <scheme val="none"/>
      </font>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165" formatCode="mm/dd/yyyy"/>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D8E4BC"/>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26"/>
      <tableStyleElement type="firstRowStripe" dxfId="125"/>
    </tableStyle>
    <tableStyle name="Table Style 2" pivot="0" count="1">
      <tableStyleElement type="firstRowStripe" dxfId="124"/>
    </tableStyle>
    <tableStyle name="Table Style 3" pivot="0" count="1">
      <tableStyleElement type="firstRowStripe" dxfId="123"/>
    </tableStyle>
    <tableStyle name="Table Style 4" pivot="0" count="3">
      <tableStyleElement type="wholeTable" dxfId="122"/>
      <tableStyleElement type="headerRow" dxfId="121"/>
      <tableStyleElement type="firstRowStripe" dxfId="120"/>
    </tableStyle>
  </tableStyles>
  <colors>
    <mruColors>
      <color rgb="FFD8E4BC"/>
      <color rgb="FFE4DFEC"/>
      <color rgb="FFFFFFCC"/>
      <color rgb="FFDBB7FF"/>
      <color rgb="FFD9D9D9"/>
      <color rgb="FFC5D9F1"/>
      <color rgb="FFFABF8F"/>
      <color rgb="FFF2DCDB"/>
      <color rgb="FFACEAAC"/>
      <color rgb="FFC9F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growShrinkType="insertClear"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0" dataBound="0" tableColumnId="20"/>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7" name="STP OVER 200K" tableColumnId="17"/>
      <queryTableField id="18" name="TA OTHER" tableColumnId="18"/>
      <queryTableField id="19" name="TA OVER 200K" tableColumnId="19"/>
      <queryTableField id="21" dataBound="0" tableColumnId="21"/>
      <queryTableField id="22" dataBound="0" tableColumnId="22"/>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0" dataBound="0" tableColumnId="20"/>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7" name="STP OVER 200K" tableColumnId="17"/>
      <queryTableField id="18" name="TA OTHER" tableColumnId="18"/>
      <queryTableField id="19" name="TA OVER 200K" tableColumnId="19"/>
      <queryTableField id="21" dataBound="0" tableColumnId="21"/>
      <queryTableField id="22" dataBound="0" tableColumnId="22"/>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3">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19" name="From" tableColumnId="4"/>
      <queryTableField id="20" name="To" tableColumnId="5"/>
      <queryTableField id="21" name="Project8" tableColumnId="7"/>
      <queryTableField id="22" name="Notes" tableColumnId="8"/>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7">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23" name="From" tableColumnId="43"/>
      <queryTableField id="24" name="To" tableColumnId="44"/>
      <queryTableField id="25" name="Project8" tableColumnId="45"/>
      <queryTableField id="26" name="Notes" tableColumnId="46"/>
    </queryTable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3" totalsRowShown="0" headerRowDxfId="119" dataDxfId="117" headerRowBorderDxfId="118" tableBorderDxfId="116" totalsRowBorderDxfId="115" headerRowCellStyle="Currency">
  <autoFilter ref="M3:V13"/>
  <tableColumns count="10">
    <tableColumn id="1" name="Description" dataDxfId="114"/>
    <tableColumn id="4" name="HSIP/3" dataDxfId="113"/>
    <tableColumn id="2" name="PL" dataDxfId="112"/>
    <tableColumn id="5" name="SPR /4" dataDxfId="111"/>
    <tableColumn id="6" name="STP other" dataDxfId="110"/>
    <tableColumn id="11" name="STP OVER 200K" dataDxfId="109"/>
    <tableColumn id="12" name="TA OTHER" dataDxfId="108"/>
    <tableColumn id="13" name="TA OVER 200K" dataDxfId="107"/>
    <tableColumn id="7" name="Total" dataDxfId="106"/>
    <tableColumn id="8" name="FFY OBLIGATION AUTHORITY /2" dataDxfId="105"/>
  </tableColumns>
  <tableStyleInfo name="Table Style 4" showFirstColumn="0" showLastColumn="0" showRowStripes="1" showColumnStripes="0"/>
</table>
</file>

<file path=xl/tables/table2.xml><?xml version="1.0" encoding="utf-8"?>
<table xmlns="http://schemas.openxmlformats.org/spreadsheetml/2006/main" id="6" name="Table6" displayName="Table6" ref="N54:V58" totalsRowShown="0" headerRowDxfId="104" dataDxfId="102" headerRowBorderDxfId="103" tableBorderDxfId="101" totalsRowBorderDxfId="100" headerRowCellStyle="Currency" dataCellStyle="Comma">
  <autoFilter ref="N54:V58"/>
  <tableColumns count="9">
    <tableColumn id="3" name="HSIP" dataDxfId="99" dataCellStyle="Comma">
      <calculatedColumnFormula>+N54-#REF!</calculatedColumnFormula>
    </tableColumn>
    <tableColumn id="4" name="PL" dataDxfId="98" dataCellStyle="Comma">
      <calculatedColumnFormula>+O54-#REF!</calculatedColumnFormula>
    </tableColumn>
    <tableColumn id="5" name="SPR" dataDxfId="97" dataCellStyle="Comma">
      <calculatedColumnFormula>+P54-#REF!</calculatedColumnFormula>
    </tableColumn>
    <tableColumn id="6" name="STP OTHER" dataDxfId="96" dataCellStyle="Comma">
      <calculatedColumnFormula>+#REF!-Q54</calculatedColumnFormula>
    </tableColumn>
    <tableColumn id="7" name="STP OVER 200K" dataDxfId="95" dataCellStyle="Comma">
      <calculatedColumnFormula>+#REF!-R54</calculatedColumnFormula>
    </tableColumn>
    <tableColumn id="8" name="TA OTHER" dataDxfId="94" dataCellStyle="Comma">
      <calculatedColumnFormula>+#REF!-S54</calculatedColumnFormula>
    </tableColumn>
    <tableColumn id="9" name="TA OVER 200K" dataDxfId="93" dataCellStyle="Comma">
      <calculatedColumnFormula>+#REF!-T54</calculatedColumnFormula>
    </tableColumn>
    <tableColumn id="10" name="Total" dataDxfId="92" dataCellStyle="Comma">
      <calculatedColumnFormula>+SUM(#REF!)</calculatedColumnFormula>
    </tableColumn>
    <tableColumn id="11" name="OA" dataDxfId="91" dataCellStyle="Comma">
      <calculatedColumnFormula>+#REF!-V54</calculatedColumnFormula>
    </tableColumn>
  </tableColumns>
  <tableStyleInfo name="Table Style 4" showFirstColumn="0" showLastColumn="0" showRowStripes="1" showColumnStripes="0"/>
</table>
</file>

<file path=xl/tables/table3.xml><?xml version="1.0" encoding="utf-8"?>
<table xmlns="http://schemas.openxmlformats.org/spreadsheetml/2006/main" id="3" name="Table_Query_from_MS_Access_Database4" displayName="Table_Query_from_MS_Access_Database4" ref="A16:V41" tableType="queryTable" totalsRowShown="0" headerRowDxfId="90" dataDxfId="89">
  <autoFilter ref="A16:V41"/>
  <sortState ref="A17:V41">
    <sortCondition ref="A16:A50"/>
  </sortState>
  <tableColumns count="22">
    <tableColumn id="1" uniqueName="1" name="ADOT#" queryTableFieldId="1" dataDxfId="39"/>
    <tableColumn id="2" uniqueName="2" name="TIP#" queryTableFieldId="2" dataDxfId="38"/>
    <tableColumn id="3" uniqueName="3" name="Sponsor" queryTableFieldId="3" dataDxfId="37"/>
    <tableColumn id="4" uniqueName="4" name="Action/15" queryTableFieldId="4" dataDxfId="36"/>
    <tableColumn id="5" uniqueName="5" name="Location" queryTableFieldId="5" dataDxfId="35"/>
    <tableColumn id="6" uniqueName="6" name="RTE" queryTableFieldId="6" dataDxfId="34"/>
    <tableColumn id="7" uniqueName="7" name="SEC" queryTableFieldId="7" dataDxfId="33"/>
    <tableColumn id="8" uniqueName="8" name="SEQ" queryTableFieldId="8" dataDxfId="32"/>
    <tableColumn id="20" uniqueName="20" name="FED #" queryTableFieldId="20" dataDxfId="31">
      <calculatedColumnFormula>CONCATENATE(Table_Query_from_MS_Access_Database4[[#This Row],[RTE]],Table_Query_from_MS_Access_Database4[[#This Row],[SEC]],Table_Query_from_MS_Access_Database4[[#This Row],[SEQ]])</calculatedColumnFormula>
    </tableColumn>
    <tableColumn id="9" uniqueName="9" name="PB Expected" queryTableFieldId="9" dataDxfId="30"/>
    <tableColumn id="10" uniqueName="10" name="PB Received" queryTableFieldId="10" dataDxfId="29"/>
    <tableColumn id="11" uniqueName="11" name="PF Transmitted" queryTableFieldId="11" dataDxfId="28"/>
    <tableColumn id="12" uniqueName="12" name="Finance Authorization" queryTableFieldId="12" dataDxfId="27"/>
    <tableColumn id="13" uniqueName="13" name="HSIP" queryTableFieldId="13" dataDxfId="26" dataCellStyle="Comma"/>
    <tableColumn id="14" uniqueName="14" name="PL" queryTableFieldId="14" dataDxfId="25" dataCellStyle="Comma"/>
    <tableColumn id="15" uniqueName="15" name="SPR" queryTableFieldId="15" dataDxfId="24" dataCellStyle="Comma"/>
    <tableColumn id="16" uniqueName="16" name="STP OTHER" queryTableFieldId="16" dataDxfId="23" dataCellStyle="Comma"/>
    <tableColumn id="17" uniqueName="17" name="STP OVER 200K" queryTableFieldId="17" dataDxfId="22" dataCellStyle="Comma"/>
    <tableColumn id="18" uniqueName="18" name="TA OTHER" queryTableFieldId="18" dataDxfId="21" dataCellStyle="Comma"/>
    <tableColumn id="19" uniqueName="19" name="TA OVER 200K" queryTableFieldId="19" dataDxfId="20" dataCellStyle="Comma"/>
    <tableColumn id="21" uniqueName="21" name="TOTAL OF AMOUNT" queryTableFieldId="21" dataDxfId="19" dataCellStyle="Comma">
      <calculatedColumnFormula>+SUM(Table_Query_from_MS_Access_Database4[[#This Row],[HSIP]:[TA OVER 200K]])</calculatedColumnFormula>
    </tableColumn>
    <tableColumn id="22" uniqueName="22" name="DECLINING BALANCE OA" queryTableFieldId="22" dataDxfId="0" dataCellStyle="Comma">
      <calculatedColumnFormula>V13-Table_Query_from_MS_Access_Database4[TOTAL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7" name="Table_Query_from_MS_Access_Database_1" displayName="Table_Query_from_MS_Access_Database_1" ref="A46:V47" tableType="queryTable" totalsRowShown="0" headerRowDxfId="88" dataDxfId="87">
  <autoFilter ref="A46:V47"/>
  <tableColumns count="22">
    <tableColumn id="1" uniqueName="1" name="ADOT#" queryTableFieldId="1" dataDxfId="61"/>
    <tableColumn id="2" uniqueName="2" name="TIP#" queryTableFieldId="2" dataDxfId="60"/>
    <tableColumn id="3" uniqueName="3" name="Sponsor" queryTableFieldId="3" dataDxfId="59"/>
    <tableColumn id="4" uniqueName="4" name="Action/15" queryTableFieldId="4" dataDxfId="58"/>
    <tableColumn id="5" uniqueName="5" name="Location" queryTableFieldId="5" dataDxfId="57"/>
    <tableColumn id="6" uniqueName="6" name="RTE" queryTableFieldId="6" dataDxfId="56"/>
    <tableColumn id="7" uniqueName="7" name="SEC" queryTableFieldId="7" dataDxfId="55"/>
    <tableColumn id="8" uniqueName="8" name="SEQ" queryTableFieldId="8" dataDxfId="54"/>
    <tableColumn id="20" uniqueName="20" name="FED #" queryTableFieldId="20" dataDxfId="53">
      <calculatedColumnFormula>CONCATENATE(Table_Query_from_MS_Access_Database_1[[#This Row],[RTE]],Table_Query_from_MS_Access_Database_1[[#This Row],[SEC]],Table_Query_from_MS_Access_Database_1[[#This Row],[SEQ]])</calculatedColumnFormula>
    </tableColumn>
    <tableColumn id="9" uniqueName="9" name="PB Expected" queryTableFieldId="9" dataDxfId="52"/>
    <tableColumn id="10" uniqueName="10" name="PB Received" queryTableFieldId="10" dataDxfId="51"/>
    <tableColumn id="11" uniqueName="11" name="PF Transmitted" queryTableFieldId="11" dataDxfId="50"/>
    <tableColumn id="12" uniqueName="12" name="Finance Authorization" queryTableFieldId="12" dataDxfId="49"/>
    <tableColumn id="13" uniqueName="13" name="HSIP" queryTableFieldId="13" dataDxfId="48"/>
    <tableColumn id="14" uniqueName="14" name="PL" queryTableFieldId="14" dataDxfId="47"/>
    <tableColumn id="15" uniqueName="15" name="SPR" queryTableFieldId="15" dataDxfId="46"/>
    <tableColumn id="16" uniqueName="16" name="STP OTHER" queryTableFieldId="16" dataDxfId="45"/>
    <tableColumn id="17" uniqueName="17" name="STP OVER 200K" queryTableFieldId="17" dataDxfId="44"/>
    <tableColumn id="18" uniqueName="18" name="TA OTHER" queryTableFieldId="18" dataDxfId="43"/>
    <tableColumn id="19" uniqueName="19" name="TA OVER 200K" queryTableFieldId="19" dataDxfId="42"/>
    <tableColumn id="21" uniqueName="21" name="TOTAL OF AMOUNT" queryTableFieldId="21" dataDxfId="41">
      <calculatedColumnFormula>SUM(Table_Query_from_MS_Access_Database_1[[HSIP]:[TA OVER 200K]])</calculatedColumnFormula>
    </tableColumn>
    <tableColumn id="22" uniqueName="22" name="EXPECTED DECLINING BALANCE OA" queryTableFieldId="22" dataDxfId="40">
      <calculatedColumnFormula>V41-Table_Query_from_MS_Access_Database_1[TOTAL OF AMOUNT]</calculatedColumnFormula>
    </tableColumn>
  </tableColumns>
  <tableStyleInfo name="Table Style 4" showFirstColumn="0" showLastColumn="0" showRowStripes="1" showColumnStripes="0"/>
</table>
</file>

<file path=xl/tables/table5.xml><?xml version="1.0" encoding="utf-8"?>
<table xmlns="http://schemas.openxmlformats.org/spreadsheetml/2006/main" id="4" name="Table_Query_from_MS_Access_Database" displayName="Table_Query_from_MS_Access_Database" ref="A11:R24" tableType="queryTable" totalsRowShown="0" headerRowDxfId="86" headerRowBorderDxfId="85" tableBorderDxfId="84" totalsRowBorderDxfId="83" headerRowCellStyle="Comma" dataCellStyle="Comma">
  <autoFilter ref="A11:R24"/>
  <tableColumns count="18">
    <tableColumn id="1" uniqueName="1" name="Transaction Year" queryTableFieldId="1" dataDxfId="82" dataCellStyle="Comma"/>
    <tableColumn id="2" uniqueName="2" name="Transaction Type" queryTableFieldId="2" dataDxfId="81" dataCellStyle="Comma"/>
    <tableColumn id="3" uniqueName="3" name="Number" queryTableFieldId="3" dataDxfId="80" dataCellStyle="Comma"/>
    <tableColumn id="6" uniqueName="6" name="Repayment Year" queryTableFieldId="6" dataDxfId="79" dataCellStyle="Comma"/>
    <tableColumn id="9" uniqueName="9" name="Total" queryTableFieldId="9" dataDxfId="78" dataCellStyle="Comma"/>
    <tableColumn id="10" uniqueName="10" name="CMAQ" queryTableFieldId="10" dataDxfId="77" dataCellStyle="Comma"/>
    <tableColumn id="11" uniqueName="11" name="CMAQ 2_5" queryTableFieldId="11" dataDxfId="76" dataCellStyle="Comma"/>
    <tableColumn id="12" uniqueName="12" name="HSIP" queryTableFieldId="12" dataDxfId="75" dataCellStyle="Comma"/>
    <tableColumn id="13" uniqueName="13" name="PL" queryTableFieldId="13" dataDxfId="74" dataCellStyle="Comma"/>
    <tableColumn id="14" uniqueName="14" name="SPR" queryTableFieldId="14" dataDxfId="73" dataCellStyle="Comma"/>
    <tableColumn id="15" uniqueName="15" name="STP other" queryTableFieldId="15" dataDxfId="72" dataCellStyle="Comma"/>
    <tableColumn id="16" uniqueName="16" name="STP over 200K" queryTableFieldId="16" dataDxfId="71" dataCellStyle="Comma"/>
    <tableColumn id="17" uniqueName="17" name="TA other" queryTableFieldId="17" dataDxfId="70" dataCellStyle="Comma"/>
    <tableColumn id="18" uniqueName="18" name="TA over 200K" queryTableFieldId="18" dataDxfId="69" dataCellStyle="Comma"/>
    <tableColumn id="4" uniqueName="4" name="From" queryTableFieldId="19" dataDxfId="68" dataCellStyle="Comma"/>
    <tableColumn id="5" uniqueName="5" name="To" queryTableFieldId="20" dataDxfId="67" dataCellStyle="Comma"/>
    <tableColumn id="7" uniqueName="7" name="Project8" queryTableFieldId="21" dataDxfId="66" dataCellStyle="Comma"/>
    <tableColumn id="8" uniqueName="8" name="Notes" queryTableFieldId="22" dataDxfId="65" dataCellStyle="Comma"/>
  </tableColumns>
  <tableStyleInfo name="Table Style 4" showFirstColumn="0" showLastColumn="0" showRowStripes="1" showColumnStripes="0"/>
</table>
</file>

<file path=xl/tables/table6.xml><?xml version="1.0" encoding="utf-8"?>
<table xmlns="http://schemas.openxmlformats.org/spreadsheetml/2006/main" id="5" name="Table_Query_from_MS_Access_Database_16" displayName="Table_Query_from_MS_Access_Database_16" ref="A27:R39" tableType="queryTable" totalsRowShown="0" headerRowDxfId="64" dataDxfId="63" tableBorderDxfId="62" headerRowCellStyle="Comma" dataCellStyle="Comma">
  <autoFilter ref="A27:R39"/>
  <tableColumns count="18">
    <tableColumn id="1" uniqueName="1" name="Transaction Year" queryTableFieldId="1" dataDxfId="18" dataCellStyle="Comma"/>
    <tableColumn id="2" uniqueName="2" name="Transaction Type" queryTableFieldId="2" dataDxfId="17" dataCellStyle="Comma"/>
    <tableColumn id="3" uniqueName="3" name="Number" queryTableFieldId="3" dataDxfId="16" dataCellStyle="Comma"/>
    <tableColumn id="6" uniqueName="6" name="Repayment Year" queryTableFieldId="6" dataDxfId="15" dataCellStyle="Comma"/>
    <tableColumn id="9" uniqueName="9" name="Total" queryTableFieldId="9" dataDxfId="14" dataCellStyle="Comma"/>
    <tableColumn id="10" uniqueName="10" name="CMAQ" queryTableFieldId="10" dataDxfId="13" dataCellStyle="Comma"/>
    <tableColumn id="11" uniqueName="11" name="CMAQ 2_5" queryTableFieldId="11" dataDxfId="12" dataCellStyle="Comma"/>
    <tableColumn id="12" uniqueName="12" name="HSIP" queryTableFieldId="12" dataDxfId="11" dataCellStyle="Comma"/>
    <tableColumn id="13" uniqueName="13" name="PL" queryTableFieldId="13" dataDxfId="10" dataCellStyle="Comma"/>
    <tableColumn id="14" uniqueName="14" name="SPR" queryTableFieldId="14" dataDxfId="9" dataCellStyle="Comma"/>
    <tableColumn id="15" uniqueName="15" name="STP other" queryTableFieldId="15" dataDxfId="8" dataCellStyle="Comma"/>
    <tableColumn id="16" uniqueName="16" name="STP over 200K" queryTableFieldId="16" dataDxfId="7" dataCellStyle="Comma"/>
    <tableColumn id="17" uniqueName="17" name="TA other" queryTableFieldId="17" dataDxfId="6" dataCellStyle="Comma"/>
    <tableColumn id="18" uniqueName="18" name="TA over 200K" queryTableFieldId="18" dataDxfId="5" dataCellStyle="Comma"/>
    <tableColumn id="43" uniqueName="43" name="From" queryTableFieldId="23" dataDxfId="4" dataCellStyle="Comma"/>
    <tableColumn id="44" uniqueName="44" name="To" queryTableFieldId="24" dataDxfId="3" dataCellStyle="Comma"/>
    <tableColumn id="45" uniqueName="45" name="Project8" queryTableFieldId="25" dataDxfId="2" dataCellStyle="Comma"/>
    <tableColumn id="46" uniqueName="46" name="Notes" queryTableFieldId="26" dataDxfId="1"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67"/>
  <sheetViews>
    <sheetView tabSelected="1" zoomScale="90" zoomScaleNormal="90" zoomScaleSheetLayoutView="90" workbookViewId="0">
      <selection sqref="A1:F1"/>
    </sheetView>
  </sheetViews>
  <sheetFormatPr defaultColWidth="32" defaultRowHeight="15.6" x14ac:dyDescent="0.3"/>
  <cols>
    <col min="1" max="1" width="12.6640625" style="32" customWidth="1"/>
    <col min="2" max="4" width="15.6640625" style="32" customWidth="1"/>
    <col min="5" max="5" width="40.6640625" style="32" customWidth="1"/>
    <col min="6" max="6" width="4.88671875" style="32" hidden="1" customWidth="1"/>
    <col min="7" max="8" width="5" style="32" hidden="1" customWidth="1"/>
    <col min="9" max="9" width="11.5546875" style="32" customWidth="1"/>
    <col min="10" max="12" width="15.6640625" style="76" customWidth="1"/>
    <col min="13" max="13" width="23.6640625" style="76" customWidth="1"/>
    <col min="14" max="21" width="14.6640625" style="34" customWidth="1"/>
    <col min="22" max="22" width="18.6640625" style="34" customWidth="1"/>
    <col min="23" max="23" width="3.44140625" style="34" bestFit="1" customWidth="1"/>
    <col min="24" max="24" width="24.33203125" style="32" customWidth="1"/>
    <col min="25" max="16384" width="32" style="32"/>
  </cols>
  <sheetData>
    <row r="1" spans="1:24" ht="24" thickBot="1" x14ac:dyDescent="0.35">
      <c r="A1" s="204" t="s">
        <v>107</v>
      </c>
      <c r="B1" s="204"/>
      <c r="C1" s="204"/>
      <c r="D1" s="204"/>
      <c r="E1" s="204"/>
      <c r="F1" s="204"/>
      <c r="K1" s="33"/>
      <c r="M1" s="77"/>
      <c r="N1" s="202" t="s">
        <v>86</v>
      </c>
      <c r="O1" s="202"/>
      <c r="P1" s="202"/>
      <c r="Q1" s="202"/>
      <c r="R1" s="202"/>
      <c r="S1" s="202"/>
      <c r="T1" s="202"/>
      <c r="U1" s="202"/>
      <c r="V1" s="203"/>
      <c r="W1" s="86"/>
      <c r="X1" s="86"/>
    </row>
    <row r="2" spans="1:24" ht="16.2" thickBot="1" x14ac:dyDescent="0.35">
      <c r="M2" s="77"/>
      <c r="N2" s="198" t="s">
        <v>12</v>
      </c>
      <c r="O2" s="199"/>
      <c r="P2" s="199"/>
      <c r="Q2" s="199"/>
      <c r="R2" s="199"/>
      <c r="S2" s="199"/>
      <c r="T2" s="199"/>
      <c r="U2" s="200"/>
      <c r="V2" s="81"/>
      <c r="W2" s="81"/>
      <c r="X2" s="81"/>
    </row>
    <row r="3" spans="1:24" ht="26.4" x14ac:dyDescent="0.3">
      <c r="A3" s="206" t="s">
        <v>89</v>
      </c>
      <c r="B3" s="206"/>
      <c r="C3" s="206"/>
      <c r="D3" s="206"/>
      <c r="E3" s="38"/>
      <c r="F3" s="38"/>
      <c r="G3" s="38"/>
      <c r="M3" s="83" t="s">
        <v>11</v>
      </c>
      <c r="N3" s="68" t="s">
        <v>67</v>
      </c>
      <c r="O3" s="68" t="s">
        <v>45</v>
      </c>
      <c r="P3" s="68" t="s">
        <v>62</v>
      </c>
      <c r="Q3" s="68" t="s">
        <v>6</v>
      </c>
      <c r="R3" s="68" t="s">
        <v>102</v>
      </c>
      <c r="S3" s="68" t="s">
        <v>103</v>
      </c>
      <c r="T3" s="68" t="s">
        <v>104</v>
      </c>
      <c r="U3" s="68" t="s">
        <v>10</v>
      </c>
      <c r="V3" s="84" t="s">
        <v>15</v>
      </c>
      <c r="W3" s="36"/>
      <c r="X3" s="37"/>
    </row>
    <row r="4" spans="1:24" ht="26.4" x14ac:dyDescent="0.3">
      <c r="A4" s="205" t="s">
        <v>153</v>
      </c>
      <c r="B4" s="205"/>
      <c r="C4" s="205"/>
      <c r="D4" s="205"/>
      <c r="E4" s="40"/>
      <c r="F4" s="40"/>
      <c r="G4" s="40"/>
      <c r="M4" s="87" t="s">
        <v>129</v>
      </c>
      <c r="N4" s="144">
        <v>0</v>
      </c>
      <c r="O4" s="144">
        <v>0</v>
      </c>
      <c r="P4" s="144">
        <v>0</v>
      </c>
      <c r="Q4" s="135">
        <v>0</v>
      </c>
      <c r="R4" s="135">
        <f>300000.3+106683.88+1378388</f>
        <v>1785072.18</v>
      </c>
      <c r="S4" s="135">
        <v>0</v>
      </c>
      <c r="T4" s="135">
        <f>111+311004</f>
        <v>311115</v>
      </c>
      <c r="U4" s="135">
        <f t="shared" ref="U4:U10" si="0">SUM(N4:T4)</f>
        <v>2096187.18</v>
      </c>
      <c r="V4" s="145">
        <v>5104</v>
      </c>
      <c r="W4" s="36"/>
      <c r="X4" s="37"/>
    </row>
    <row r="5" spans="1:24" ht="26.4" x14ac:dyDescent="0.3">
      <c r="A5" s="69"/>
      <c r="B5" s="69"/>
      <c r="C5" s="69"/>
      <c r="D5" s="69"/>
      <c r="E5" s="70"/>
      <c r="F5" s="70"/>
      <c r="G5" s="70"/>
      <c r="J5" s="78"/>
      <c r="M5" s="87" t="s">
        <v>123</v>
      </c>
      <c r="N5" s="144">
        <v>0</v>
      </c>
      <c r="O5" s="135">
        <v>0</v>
      </c>
      <c r="P5" s="144">
        <v>0</v>
      </c>
      <c r="Q5" s="135">
        <v>0</v>
      </c>
      <c r="R5" s="135">
        <v>13530</v>
      </c>
      <c r="S5" s="135">
        <v>0</v>
      </c>
      <c r="T5" s="135">
        <v>0</v>
      </c>
      <c r="U5" s="135">
        <f t="shared" si="0"/>
        <v>13530</v>
      </c>
      <c r="V5" s="145">
        <v>0</v>
      </c>
      <c r="W5" s="36"/>
      <c r="X5" s="37"/>
    </row>
    <row r="6" spans="1:24" ht="26.4" x14ac:dyDescent="0.3">
      <c r="A6" s="210" t="s">
        <v>122</v>
      </c>
      <c r="B6" s="210"/>
      <c r="C6" s="67">
        <v>43008</v>
      </c>
      <c r="J6" s="78"/>
      <c r="M6" s="88" t="s">
        <v>128</v>
      </c>
      <c r="N6" s="135">
        <v>1061813</v>
      </c>
      <c r="O6" s="135">
        <v>977586</v>
      </c>
      <c r="P6" s="135">
        <f>Notes!D13</f>
        <v>350000</v>
      </c>
      <c r="Q6" s="135">
        <f>3304738+2112865</f>
        <v>5417603</v>
      </c>
      <c r="R6" s="135">
        <v>12897137</v>
      </c>
      <c r="S6" s="135">
        <f>72404+98801</f>
        <v>171205</v>
      </c>
      <c r="T6" s="135">
        <f>1020168</f>
        <v>1020168</v>
      </c>
      <c r="U6" s="135">
        <f t="shared" si="0"/>
        <v>21895512</v>
      </c>
      <c r="V6" s="146">
        <f>ROUND(Table1[[#This Row],[Total]]*0.949,0)</f>
        <v>20778841</v>
      </c>
      <c r="W6" s="41" t="s">
        <v>69</v>
      </c>
      <c r="X6" s="37"/>
    </row>
    <row r="7" spans="1:24" x14ac:dyDescent="0.3">
      <c r="M7" s="88" t="s">
        <v>77</v>
      </c>
      <c r="N7" s="135">
        <f>SUMIFS(Table_Query_from_MS_Access_Database[[#All],[HSIP]],Table_Query_from_MS_Access_Database[[#All],[Transaction Year]],"2017",Table_Query_from_MS_Access_Database[[#All],[Transaction Type]],"loan in")</f>
        <v>0</v>
      </c>
      <c r="O7" s="135">
        <f>SUMIFS(Table_Query_from_MS_Access_Database[[#All],[PL]],Table_Query_from_MS_Access_Database[[#All],[Transaction Year]],"2017",Table_Query_from_MS_Access_Database[[#All],[Transaction Type]],"loan in")</f>
        <v>0</v>
      </c>
      <c r="P7" s="135">
        <f>SUMIFS(Table_Query_from_MS_Access_Database[[#All],[SPR]],Table_Query_from_MS_Access_Database[[#All],[Transaction Year]],"2017",Table_Query_from_MS_Access_Database[[#All],[Transaction Type]],"loan in")</f>
        <v>0</v>
      </c>
      <c r="Q7" s="135">
        <f>SUMIFS(Table_Query_from_MS_Access_Database[[#All],[STP other]],Table_Query_from_MS_Access_Database[[#All],[Transaction Year]],"2017",Table_Query_from_MS_Access_Database[[#All],[Transaction Type]],"loan in")</f>
        <v>0</v>
      </c>
      <c r="R7" s="135">
        <f>SUMIFS(Table_Query_from_MS_Access_Database[[#All],[STP over 200K]],Table_Query_from_MS_Access_Database[[#All],[Transaction Year]],"2017",Table_Query_from_MS_Access_Database[[#All],[Transaction Type]],"loan in")</f>
        <v>0</v>
      </c>
      <c r="S7" s="135">
        <f>SUMIFS(Table_Query_from_MS_Access_Database[[#All],[TA other]],Table_Query_from_MS_Access_Database[[#All],[Transaction Year]],"2017",Table_Query_from_MS_Access_Database[[#All],[Transaction Type]],"loan in")</f>
        <v>0</v>
      </c>
      <c r="T7" s="135">
        <f>SUMIFS(Table_Query_from_MS_Access_Database[[#All],[TA over 200K]],Table_Query_from_MS_Access_Database[[#All],[Transaction Year]],"2017",Table_Query_from_MS_Access_Database[[#All],[Transaction Type]],"loan in")</f>
        <v>0</v>
      </c>
      <c r="U7" s="135">
        <f t="shared" si="0"/>
        <v>0</v>
      </c>
      <c r="V7" s="146">
        <f>SUMIFS(Table_Query_from_MS_Access_Database_16[[#All],[Total]],Table_Query_from_MS_Access_Database_16[[#All],[Transaction Year]],"2017",Table_Query_from_MS_Access_Database_16[[#All],[Transaction Type]],"Loan In")</f>
        <v>0</v>
      </c>
      <c r="W7" s="36"/>
      <c r="X7" s="37"/>
    </row>
    <row r="8" spans="1:24" x14ac:dyDescent="0.3">
      <c r="A8" s="43"/>
      <c r="M8" s="88" t="s">
        <v>78</v>
      </c>
      <c r="N8" s="135">
        <f>SUMIFS(Table_Query_from_MS_Access_Database[[#All],[HSIP]],Table_Query_from_MS_Access_Database[[#All],[Transaction Year]],"2017",Table_Query_from_MS_Access_Database[[#All],[Transaction Type]],"loan Out")</f>
        <v>0</v>
      </c>
      <c r="O8" s="135">
        <f>SUMIFS(Table_Query_from_MS_Access_Database[[#All],[PL]],Table_Query_from_MS_Access_Database[[#All],[Transaction Year]],"2017",Table_Query_from_MS_Access_Database[[#All],[Transaction Type]],"loan Out")</f>
        <v>0</v>
      </c>
      <c r="P8" s="135">
        <f>SUMIFS(Table_Query_from_MS_Access_Database[[#All],[SPR]],Table_Query_from_MS_Access_Database[[#All],[Transaction Year]],"2017",Table_Query_from_MS_Access_Database[[#All],[Transaction Type]],"loan Out")</f>
        <v>0</v>
      </c>
      <c r="Q8" s="135">
        <f>SUMIFS(Table_Query_from_MS_Access_Database[[#All],[STP other]],Table_Query_from_MS_Access_Database[[#All],[Transaction Year]],"2017",Table_Query_from_MS_Access_Database[[#All],[Transaction Type]],"loan Out")</f>
        <v>-503755</v>
      </c>
      <c r="R8" s="135">
        <f>SUMIFS(Table_Query_from_MS_Access_Database[[#All],[STP over 200K]],Table_Query_from_MS_Access_Database[[#All],[Transaction Year]],"2017",Table_Query_from_MS_Access_Database[[#All],[Transaction Type]],"loan Out")</f>
        <v>0</v>
      </c>
      <c r="S8" s="135">
        <f>SUMIFS(Table_Query_from_MS_Access_Database[[#All],[TA other]],Table_Query_from_MS_Access_Database[[#All],[Transaction Year]],"2017",Table_Query_from_MS_Access_Database[[#All],[Transaction Type]],"loan Out")</f>
        <v>0</v>
      </c>
      <c r="T8" s="135">
        <f>SUMIFS(Table_Query_from_MS_Access_Database[[#All],[TA over 200K]],Table_Query_from_MS_Access_Database[[#All],[Transaction Year]],"2017",Table_Query_from_MS_Access_Database[[#All],[Transaction Type]],"loan Out")</f>
        <v>0</v>
      </c>
      <c r="U8" s="135">
        <f t="shared" si="0"/>
        <v>-503755</v>
      </c>
      <c r="V8" s="146">
        <f>SUMIFS(Table_Query_from_MS_Access_Database_16[[#All],[Total]],Table_Query_from_MS_Access_Database_16[[#All],[Transaction Year]],"2017",Table_Query_from_MS_Access_Database_16[[#All],[Transaction Type]],"Loan Out")</f>
        <v>-503755</v>
      </c>
      <c r="W8" s="36"/>
      <c r="X8" s="37"/>
    </row>
    <row r="9" spans="1:24" x14ac:dyDescent="0.3">
      <c r="M9" s="87" t="s">
        <v>79</v>
      </c>
      <c r="N9" s="135">
        <f>SUMIFS(Table_Query_from_MS_Access_Database[[#All],[HSIP]],Table_Query_from_MS_Access_Database[[#All],[Transaction Year]],"2017",Table_Query_from_MS_Access_Database[[#All],[Transaction Type]],"repayment in")</f>
        <v>846000</v>
      </c>
      <c r="O9" s="135">
        <f>SUMIFS(Table_Query_from_MS_Access_Database[[#All],[PL]],Table_Query_from_MS_Access_Database[[#All],[Transaction Year]],"2017",Table_Query_from_MS_Access_Database[[#All],[Transaction Type]],"repayment in")</f>
        <v>0</v>
      </c>
      <c r="P9" s="135">
        <f>SUMIFS(Table_Query_from_MS_Access_Database[[#All],[SPR]],Table_Query_from_MS_Access_Database[[#All],[Transaction Year]],"2017",Table_Query_from_MS_Access_Database[[#All],[Transaction Type]],"repayment in")</f>
        <v>0</v>
      </c>
      <c r="Q9" s="135">
        <f>SUMIFS(Table_Query_from_MS_Access_Database[[#All],[STP other]],Table_Query_from_MS_Access_Database[[#All],[Transaction Year]],"2017",Table_Query_from_MS_Access_Database[[#All],[Transaction Type]],"repayment in")</f>
        <v>2850000</v>
      </c>
      <c r="R9" s="135">
        <f>SUMIFS(Table_Query_from_MS_Access_Database[[#All],[STP over 200K]],Table_Query_from_MS_Access_Database[[#All],[Transaction Year]],"2017",Table_Query_from_MS_Access_Database[[#All],[Transaction Type]],"repayment in")</f>
        <v>0</v>
      </c>
      <c r="S9" s="135">
        <f>SUMIFS(Table_Query_from_MS_Access_Database[[#All],[TA other]],Table_Query_from_MS_Access_Database[[#All],[Transaction Year]],"2017",Table_Query_from_MS_Access_Database[[#All],[Transaction Type]],"repayment in")</f>
        <v>0</v>
      </c>
      <c r="T9" s="135">
        <f>SUMIFS(Table_Query_from_MS_Access_Database[[#All],[TA over 200K]],Table_Query_from_MS_Access_Database[[#All],[Transaction Year]],"2017",Table_Query_from_MS_Access_Database[[#All],[Transaction Type]],"repayment in")</f>
        <v>0</v>
      </c>
      <c r="U9" s="135">
        <f t="shared" si="0"/>
        <v>3696000</v>
      </c>
      <c r="V9" s="146">
        <f>SUMIFS(Table_Query_from_MS_Access_Database_16[[#All],[Total]],Table_Query_from_MS_Access_Database_16[[#All],[Transaction Year]],"2017",Table_Query_from_MS_Access_Database_16[[#All],[Transaction Type]],"repayment In")</f>
        <v>3696000</v>
      </c>
      <c r="W9" s="36"/>
      <c r="X9" s="37"/>
    </row>
    <row r="10" spans="1:24" x14ac:dyDescent="0.3">
      <c r="A10" s="205" t="s">
        <v>95</v>
      </c>
      <c r="B10" s="205"/>
      <c r="C10" s="205"/>
      <c r="D10" s="205"/>
      <c r="E10" s="205"/>
      <c r="F10" s="205"/>
      <c r="G10" s="205"/>
      <c r="H10" s="205"/>
      <c r="I10" s="205"/>
      <c r="J10" s="205"/>
      <c r="K10" s="205"/>
      <c r="L10" s="205"/>
      <c r="M10" s="88" t="s">
        <v>80</v>
      </c>
      <c r="N10" s="135">
        <f>SUMIFS(Table_Query_from_MS_Access_Database[[#All],[HSIP]],Table_Query_from_MS_Access_Database[[#All],[Transaction Year]],"2017",Table_Query_from_MS_Access_Database[[#All],[Transaction Type]],"repayment Out")</f>
        <v>0</v>
      </c>
      <c r="O10" s="135">
        <f>SUMIFS(Table_Query_from_MS_Access_Database[[#All],[PL]],Table_Query_from_MS_Access_Database[[#All],[Transaction Year]],"2017",Table_Query_from_MS_Access_Database[[#All],[Transaction Type]],"repayment Out")</f>
        <v>0</v>
      </c>
      <c r="P10" s="135">
        <f>SUMIFS(Table_Query_from_MS_Access_Database[[#All],[SPR]],Table_Query_from_MS_Access_Database[[#All],[Transaction Year]],"2017",Table_Query_from_MS_Access_Database[[#All],[Transaction Type]],"repayment Out")</f>
        <v>0</v>
      </c>
      <c r="Q10" s="135">
        <f>SUMIFS(Table_Query_from_MS_Access_Database[[#All],[STP other]],Table_Query_from_MS_Access_Database[[#All],[Transaction Year]],"2017",Table_Query_from_MS_Access_Database[[#All],[Transaction Type]],"repayment Out")</f>
        <v>0</v>
      </c>
      <c r="R10" s="135">
        <f>SUMIFS(Table_Query_from_MS_Access_Database[[#All],[STP over 200K]],Table_Query_from_MS_Access_Database[[#All],[Transaction Year]],"2017",Table_Query_from_MS_Access_Database[[#All],[Transaction Type]],"repayment Out")</f>
        <v>0</v>
      </c>
      <c r="S10" s="135">
        <f>SUMIFS(Table_Query_from_MS_Access_Database[[#All],[TA other]],Table_Query_from_MS_Access_Database[[#All],[Transaction Year]],"2017",Table_Query_from_MS_Access_Database[[#All],[Transaction Type]],"repayment Out")</f>
        <v>0</v>
      </c>
      <c r="T10" s="135">
        <f>SUMIFS(Table_Query_from_MS_Access_Database[[#All],[TA over 200K]],Table_Query_from_MS_Access_Database[[#All],[Transaction Year]],"2017",Table_Query_from_MS_Access_Database[[#All],[Transaction Type]],"repayment Out")</f>
        <v>0</v>
      </c>
      <c r="U10" s="135">
        <f t="shared" si="0"/>
        <v>0</v>
      </c>
      <c r="V10" s="146">
        <f>SUMIFS(Table_Query_from_MS_Access_Database_16[[#All],[Total]],Table_Query_from_MS_Access_Database_16[[#All],[Transaction Year]],"2017",Table_Query_from_MS_Access_Database_16[[#All],[Transaction Type]],"Repayment Out")</f>
        <v>0</v>
      </c>
      <c r="W10" s="36"/>
      <c r="X10" s="37"/>
    </row>
    <row r="11" spans="1:24" x14ac:dyDescent="0.3">
      <c r="M11" s="88" t="s">
        <v>81</v>
      </c>
      <c r="N11" s="135">
        <f>SUMIFS(Table_Query_from_MS_Access_Database[[#All],[HSIP]],Table_Query_from_MS_Access_Database[[#All],[Transaction Year]],"2017",Table_Query_from_MS_Access_Database[[#All],[Transaction Type]],"Transfer in")</f>
        <v>0</v>
      </c>
      <c r="O11" s="135">
        <f>SUMIFS(Table_Query_from_MS_Access_Database[[#All],[PL]],Table_Query_from_MS_Access_Database[[#All],[Transaction Year]],"2017",Table_Query_from_MS_Access_Database[[#All],[Transaction Type]],"Transfer in")</f>
        <v>0</v>
      </c>
      <c r="P11" s="135">
        <f>SUMIFS(Table_Query_from_MS_Access_Database[[#All],[SPR]],Table_Query_from_MS_Access_Database[[#All],[Transaction Year]],"2017",Table_Query_from_MS_Access_Database[[#All],[Transaction Type]],"Transfer in")</f>
        <v>0</v>
      </c>
      <c r="Q11" s="135">
        <f>SUMIFS(Table_Query_from_MS_Access_Database[[#All],[STP other]],Table_Query_from_MS_Access_Database[[#All],[Transaction Year]],"2017",Table_Query_from_MS_Access_Database[[#All],[Transaction Type]],"Transfer in")</f>
        <v>0</v>
      </c>
      <c r="R11" s="135">
        <f>SUMIFS(Table_Query_from_MS_Access_Database[[#All],[STP over 200K]],Table_Query_from_MS_Access_Database[[#All],[Transaction Year]],"2017",Table_Query_from_MS_Access_Database[[#All],[Transaction Type]],"Transfer in")</f>
        <v>0</v>
      </c>
      <c r="S11" s="135">
        <f>SUMIFS(Table_Query_from_MS_Access_Database[[#All],[TA other]],Table_Query_from_MS_Access_Database[[#All],[Transaction Year]],"2017",Table_Query_from_MS_Access_Database[[#All],[Transaction Type]],"Transfer in")</f>
        <v>0</v>
      </c>
      <c r="T11" s="135">
        <f>SUMIFS(Table_Query_from_MS_Access_Database[[#All],[TA over 200K]],Table_Query_from_MS_Access_Database[[#All],[Transaction Year]],"2017",Table_Query_from_MS_Access_Database[[#All],[Transaction Type]],"Transfer in")</f>
        <v>0</v>
      </c>
      <c r="U11" s="135">
        <f>SUM(N11:T11)</f>
        <v>0</v>
      </c>
      <c r="V11" s="146">
        <f>SUMIFS(Table_Query_from_MS_Access_Database_16[[#All],[Total]],Table_Query_from_MS_Access_Database_16[[#All],[Transaction Year]],"2017",Table_Query_from_MS_Access_Database_16[[#All],[Transaction Type]],"Transfer In")</f>
        <v>0</v>
      </c>
      <c r="W11" s="32"/>
      <c r="X11" s="37"/>
    </row>
    <row r="12" spans="1:24" ht="16.2" thickBot="1" x14ac:dyDescent="0.35">
      <c r="F12" s="44"/>
      <c r="G12" s="44"/>
      <c r="M12" s="88" t="s">
        <v>82</v>
      </c>
      <c r="N12" s="135">
        <f>SUMIFS(Table_Query_from_MS_Access_Database[[#All],[HSIP]],Table_Query_from_MS_Access_Database[[#All],[Transaction Year]],"2017",Table_Query_from_MS_Access_Database[[#All],[Transaction Type]],"Transfer Out")</f>
        <v>0</v>
      </c>
      <c r="O12" s="135">
        <f>SUMIFS(Table_Query_from_MS_Access_Database[[#All],[PL]],Table_Query_from_MS_Access_Database[[#All],[Transaction Year]],"2017",Table_Query_from_MS_Access_Database[[#All],[Transaction Type]],"Transfer Out")</f>
        <v>0</v>
      </c>
      <c r="P12" s="135">
        <f>SUMIFS(Table_Query_from_MS_Access_Database[[#All],[SPR]],Table_Query_from_MS_Access_Database[[#All],[Transaction Year]],"2017",Table_Query_from_MS_Access_Database[[#All],[Transaction Type]],"Transfer Out")</f>
        <v>0</v>
      </c>
      <c r="Q12" s="135">
        <f>SUMIFS(Table_Query_from_MS_Access_Database[[#All],[STP other]],Table_Query_from_MS_Access_Database[[#All],[Transaction Year]],"2017",Table_Query_from_MS_Access_Database[[#All],[Transaction Type]],"Transfer Out")</f>
        <v>0</v>
      </c>
      <c r="R12" s="135">
        <f>SUMIFS(Table_Query_from_MS_Access_Database[[#All],[STP over 200K]],Table_Query_from_MS_Access_Database[[#All],[Transaction Year]],"2017",Table_Query_from_MS_Access_Database[[#All],[Transaction Type]],"Transfer Out")</f>
        <v>0</v>
      </c>
      <c r="S12" s="135">
        <f>SUMIFS(Table_Query_from_MS_Access_Database[[#All],[TA other]],Table_Query_from_MS_Access_Database[[#All],[Transaction Year]],"2017",Table_Query_from_MS_Access_Database[[#All],[Transaction Type]],"Transfer Out")</f>
        <v>0</v>
      </c>
      <c r="T12" s="135">
        <f>SUMIFS(Table_Query_from_MS_Access_Database[[#All],[TA over 200K]],Table_Query_from_MS_Access_Database[[#All],[Transaction Year]],"2017",Table_Query_from_MS_Access_Database[[#All],[Transaction Type]],"Transfer Out")</f>
        <v>0</v>
      </c>
      <c r="U12" s="135">
        <f>SUM(N12:T12)</f>
        <v>0</v>
      </c>
      <c r="V12" s="146">
        <f>SUMIFS(Table_Query_from_MS_Access_Database_16[[#All],[Total]],Table_Query_from_MS_Access_Database_16[[#All],[Transaction Year]],"2017",Table_Query_from_MS_Access_Database_16[[#All],[Transaction Type]],"Transfer Out")</f>
        <v>0</v>
      </c>
      <c r="W12" s="42"/>
      <c r="X12" s="37"/>
    </row>
    <row r="13" spans="1:24" ht="27" thickBot="1" x14ac:dyDescent="0.35">
      <c r="M13" s="89" t="s">
        <v>96</v>
      </c>
      <c r="N13" s="147">
        <f t="shared" ref="N13:V13" si="1">SUM(N4:N12)</f>
        <v>1907813</v>
      </c>
      <c r="O13" s="147">
        <f t="shared" si="1"/>
        <v>977586</v>
      </c>
      <c r="P13" s="147">
        <f t="shared" si="1"/>
        <v>350000</v>
      </c>
      <c r="Q13" s="147">
        <f t="shared" si="1"/>
        <v>7763848</v>
      </c>
      <c r="R13" s="147">
        <f t="shared" si="1"/>
        <v>14695739.18</v>
      </c>
      <c r="S13" s="147">
        <f t="shared" si="1"/>
        <v>171205</v>
      </c>
      <c r="T13" s="147">
        <f t="shared" si="1"/>
        <v>1331283</v>
      </c>
      <c r="U13" s="147">
        <f t="shared" si="1"/>
        <v>27197474.18</v>
      </c>
      <c r="V13" s="148">
        <f t="shared" si="1"/>
        <v>23976190</v>
      </c>
      <c r="W13" s="42"/>
      <c r="X13" s="37"/>
    </row>
    <row r="14" spans="1:24" x14ac:dyDescent="0.3">
      <c r="N14" s="45"/>
      <c r="O14" s="46"/>
      <c r="P14" s="46"/>
      <c r="Q14" s="46"/>
      <c r="R14" s="46"/>
      <c r="S14" s="46"/>
      <c r="T14" s="42"/>
      <c r="V14" s="79"/>
      <c r="X14" s="35"/>
    </row>
    <row r="15" spans="1:24" ht="16.8" x14ac:dyDescent="0.3">
      <c r="A15" s="197" t="s">
        <v>68</v>
      </c>
      <c r="B15" s="197"/>
      <c r="C15" s="197"/>
      <c r="D15" s="197"/>
      <c r="J15" s="207" t="s">
        <v>70</v>
      </c>
      <c r="K15" s="208"/>
      <c r="L15" s="208"/>
      <c r="M15" s="209"/>
      <c r="N15" s="47"/>
      <c r="R15" s="48"/>
      <c r="S15" s="48"/>
      <c r="T15" s="48"/>
      <c r="U15" s="48"/>
      <c r="V15" s="79"/>
      <c r="W15" s="80"/>
      <c r="X15" s="35"/>
    </row>
    <row r="16" spans="1:24" s="51" customFormat="1" ht="30" x14ac:dyDescent="0.3">
      <c r="A16" s="91" t="s">
        <v>1</v>
      </c>
      <c r="B16" s="91" t="s">
        <v>0</v>
      </c>
      <c r="C16" s="91" t="s">
        <v>3</v>
      </c>
      <c r="D16" s="92" t="s">
        <v>92</v>
      </c>
      <c r="E16" s="92" t="s">
        <v>2</v>
      </c>
      <c r="F16" s="92" t="s">
        <v>52</v>
      </c>
      <c r="G16" s="92" t="s">
        <v>53</v>
      </c>
      <c r="H16" s="92" t="s">
        <v>54</v>
      </c>
      <c r="I16" s="92" t="s">
        <v>60</v>
      </c>
      <c r="J16" s="92" t="s">
        <v>55</v>
      </c>
      <c r="K16" s="92" t="s">
        <v>56</v>
      </c>
      <c r="L16" s="92" t="s">
        <v>57</v>
      </c>
      <c r="M16" s="92" t="s">
        <v>58</v>
      </c>
      <c r="N16" s="92" t="s">
        <v>4</v>
      </c>
      <c r="O16" s="92" t="s">
        <v>45</v>
      </c>
      <c r="P16" s="92" t="s">
        <v>5</v>
      </c>
      <c r="Q16" s="92" t="s">
        <v>59</v>
      </c>
      <c r="R16" s="92" t="s">
        <v>102</v>
      </c>
      <c r="S16" s="92" t="s">
        <v>103</v>
      </c>
      <c r="T16" s="92" t="s">
        <v>104</v>
      </c>
      <c r="U16" s="92" t="s">
        <v>94</v>
      </c>
      <c r="V16" s="93" t="s">
        <v>101</v>
      </c>
      <c r="W16" s="56"/>
      <c r="X16" s="56"/>
    </row>
    <row r="17" spans="1:24" s="53" customFormat="1" ht="13.2" x14ac:dyDescent="0.3">
      <c r="A17" s="128" t="s">
        <v>202</v>
      </c>
      <c r="B17" s="128" t="s">
        <v>179</v>
      </c>
      <c r="C17" s="128" t="s">
        <v>105</v>
      </c>
      <c r="D17" s="129" t="s">
        <v>7</v>
      </c>
      <c r="E17" s="129" t="s">
        <v>180</v>
      </c>
      <c r="F17" s="128" t="s">
        <v>181</v>
      </c>
      <c r="G17" s="128" t="s">
        <v>182</v>
      </c>
      <c r="H17" s="128" t="s">
        <v>183</v>
      </c>
      <c r="I17" s="128" t="str">
        <f>CONCATENATE(Table_Query_from_MS_Access_Database4[[#This Row],[RTE]],Table_Query_from_MS_Access_Database4[[#This Row],[SEC]],Table_Query_from_MS_Access_Database4[[#This Row],[SEQ]])</f>
        <v>010D213</v>
      </c>
      <c r="J17" s="130">
        <v>42874</v>
      </c>
      <c r="K17" s="95">
        <v>42881</v>
      </c>
      <c r="L17" s="95">
        <v>42900</v>
      </c>
      <c r="M17" s="95">
        <v>42913</v>
      </c>
      <c r="N17" s="143"/>
      <c r="O17" s="143"/>
      <c r="P17" s="143"/>
      <c r="Q17" s="143"/>
      <c r="R17" s="143">
        <v>520000</v>
      </c>
      <c r="S17" s="143"/>
      <c r="T17" s="143"/>
      <c r="U17" s="143">
        <f>+SUM(Table_Query_from_MS_Access_Database4[[#This Row],[HSIP]:[TA OVER 200K]])</f>
        <v>520000</v>
      </c>
      <c r="V17" s="143">
        <f>V13-Table_Query_from_MS_Access_Database4[TOTAL OF AMOUNT]</f>
        <v>23456190</v>
      </c>
      <c r="W17" s="136"/>
      <c r="X17" s="136"/>
    </row>
    <row r="18" spans="1:24" s="53" customFormat="1" ht="13.2" x14ac:dyDescent="0.3">
      <c r="A18" s="160" t="s">
        <v>177</v>
      </c>
      <c r="B18" s="160"/>
      <c r="C18" s="160" t="s">
        <v>110</v>
      </c>
      <c r="D18" s="161" t="s">
        <v>7</v>
      </c>
      <c r="E18" s="161" t="s">
        <v>225</v>
      </c>
      <c r="F18" s="160" t="s">
        <v>168</v>
      </c>
      <c r="G18" s="160" t="s">
        <v>178</v>
      </c>
      <c r="H18" s="160" t="s">
        <v>170</v>
      </c>
      <c r="I18" s="160" t="str">
        <f>CONCATENATE(Table_Query_from_MS_Access_Database4[[#This Row],[RTE]],Table_Query_from_MS_Access_Database4[[#This Row],[SEC]],Table_Query_from_MS_Access_Database4[[#This Row],[SEQ]])</f>
        <v>PCAP017</v>
      </c>
      <c r="J18" s="163">
        <v>42644</v>
      </c>
      <c r="K18" s="162">
        <v>42648</v>
      </c>
      <c r="L18" s="162">
        <v>42656</v>
      </c>
      <c r="M18" s="162">
        <v>42661</v>
      </c>
      <c r="N18" s="164"/>
      <c r="O18" s="164">
        <v>977586</v>
      </c>
      <c r="P18" s="164"/>
      <c r="Q18" s="164"/>
      <c r="R18" s="164"/>
      <c r="S18" s="164"/>
      <c r="T18" s="164"/>
      <c r="U18" s="164">
        <f>+SUM(Table_Query_from_MS_Access_Database4[[#This Row],[HSIP]:[TA OVER 200K]])</f>
        <v>977586</v>
      </c>
      <c r="V18" s="164">
        <f>V17-Table_Query_from_MS_Access_Database4[TOTAL OF AMOUNT]</f>
        <v>22478604</v>
      </c>
      <c r="W18" s="136"/>
      <c r="X18" s="136"/>
    </row>
    <row r="19" spans="1:24" s="53" customFormat="1" ht="13.2" x14ac:dyDescent="0.3">
      <c r="A19" s="128" t="s">
        <v>166</v>
      </c>
      <c r="B19" s="128"/>
      <c r="C19" s="128" t="s">
        <v>110</v>
      </c>
      <c r="D19" s="129" t="s">
        <v>8</v>
      </c>
      <c r="E19" s="129" t="s">
        <v>167</v>
      </c>
      <c r="F19" s="128" t="s">
        <v>168</v>
      </c>
      <c r="G19" s="128" t="s">
        <v>169</v>
      </c>
      <c r="H19" s="128" t="s">
        <v>170</v>
      </c>
      <c r="I19" s="128" t="str">
        <f>CONCATENATE(Table_Query_from_MS_Access_Database4[[#This Row],[RTE]],Table_Query_from_MS_Access_Database4[[#This Row],[SEC]],Table_Query_from_MS_Access_Database4[[#This Row],[SEQ]])</f>
        <v>PCAT017</v>
      </c>
      <c r="J19" s="130"/>
      <c r="K19" s="95">
        <v>42648</v>
      </c>
      <c r="L19" s="95">
        <v>42676</v>
      </c>
      <c r="M19" s="95">
        <v>42683</v>
      </c>
      <c r="N19" s="143"/>
      <c r="O19" s="143"/>
      <c r="P19" s="143"/>
      <c r="Q19" s="143"/>
      <c r="R19" s="143">
        <v>1655422.16</v>
      </c>
      <c r="S19" s="143"/>
      <c r="T19" s="143"/>
      <c r="U19" s="143">
        <f>+SUM(Table_Query_from_MS_Access_Database4[[#This Row],[HSIP]:[TA OVER 200K]])</f>
        <v>1655422.16</v>
      </c>
      <c r="V19" s="164">
        <f>V18-Table_Query_from_MS_Access_Database4[TOTAL OF AMOUNT]</f>
        <v>20823181.84</v>
      </c>
      <c r="W19" s="136"/>
      <c r="X19" s="136"/>
    </row>
    <row r="20" spans="1:24" s="53" customFormat="1" ht="13.2" x14ac:dyDescent="0.3">
      <c r="A20" s="165" t="s">
        <v>166</v>
      </c>
      <c r="B20" s="165"/>
      <c r="C20" s="165" t="s">
        <v>110</v>
      </c>
      <c r="D20" s="166" t="s">
        <v>246</v>
      </c>
      <c r="E20" s="166" t="s">
        <v>167</v>
      </c>
      <c r="F20" s="165" t="s">
        <v>168</v>
      </c>
      <c r="G20" s="165" t="s">
        <v>169</v>
      </c>
      <c r="H20" s="165" t="s">
        <v>170</v>
      </c>
      <c r="I20" s="165" t="str">
        <f>CONCATENATE(Table_Query_from_MS_Access_Database4[[#This Row],[RTE]],Table_Query_from_MS_Access_Database4[[#This Row],[SEC]],Table_Query_from_MS_Access_Database4[[#This Row],[SEQ]])</f>
        <v>PCAT017</v>
      </c>
      <c r="J20" s="167"/>
      <c r="K20" s="168">
        <v>42979</v>
      </c>
      <c r="L20" s="168">
        <v>42985</v>
      </c>
      <c r="M20" s="168">
        <v>42993</v>
      </c>
      <c r="N20" s="169"/>
      <c r="O20" s="169"/>
      <c r="P20" s="169"/>
      <c r="Q20" s="169"/>
      <c r="R20" s="169">
        <v>-881903.83</v>
      </c>
      <c r="S20" s="169"/>
      <c r="T20" s="169"/>
      <c r="U20" s="169">
        <f>+SUM(Table_Query_from_MS_Access_Database4[[#This Row],[HSIP]:[TA OVER 200K]])</f>
        <v>-881903.83</v>
      </c>
      <c r="V20" s="164">
        <f>V19-Table_Query_from_MS_Access_Database4[TOTAL OF AMOUNT]</f>
        <v>21705085.669999998</v>
      </c>
      <c r="W20" s="136"/>
      <c r="X20" s="136"/>
    </row>
    <row r="21" spans="1:24" s="53" customFormat="1" ht="13.2" x14ac:dyDescent="0.3">
      <c r="A21" s="170" t="s">
        <v>171</v>
      </c>
      <c r="B21" s="170"/>
      <c r="C21" s="170" t="s">
        <v>110</v>
      </c>
      <c r="D21" s="171" t="s">
        <v>7</v>
      </c>
      <c r="E21" s="171" t="s">
        <v>226</v>
      </c>
      <c r="F21" s="170" t="s">
        <v>168</v>
      </c>
      <c r="G21" s="170" t="s">
        <v>172</v>
      </c>
      <c r="H21" s="170" t="s">
        <v>170</v>
      </c>
      <c r="I21" s="170" t="str">
        <f>CONCATENATE(Table_Query_from_MS_Access_Database4[[#This Row],[RTE]],Table_Query_from_MS_Access_Database4[[#This Row],[SEC]],Table_Query_from_MS_Access_Database4[[#This Row],[SEQ]])</f>
        <v>PCAN017</v>
      </c>
      <c r="J21" s="172"/>
      <c r="K21" s="173">
        <v>42648</v>
      </c>
      <c r="L21" s="173">
        <v>42662</v>
      </c>
      <c r="M21" s="173">
        <v>42675</v>
      </c>
      <c r="N21" s="174"/>
      <c r="O21" s="174"/>
      <c r="P21" s="174"/>
      <c r="Q21" s="174"/>
      <c r="R21" s="174">
        <v>985000</v>
      </c>
      <c r="S21" s="174"/>
      <c r="T21" s="174"/>
      <c r="U21" s="174">
        <f>+SUM(Table_Query_from_MS_Access_Database4[[#This Row],[HSIP]:[TA OVER 200K]])</f>
        <v>985000</v>
      </c>
      <c r="V21" s="164">
        <f>V20-Table_Query_from_MS_Access_Database4[TOTAL OF AMOUNT]</f>
        <v>20720085.669999998</v>
      </c>
      <c r="W21" s="136"/>
      <c r="X21" s="136"/>
    </row>
    <row r="22" spans="1:24" s="53" customFormat="1" ht="13.2" x14ac:dyDescent="0.3">
      <c r="A22" s="170" t="s">
        <v>229</v>
      </c>
      <c r="B22" s="170"/>
      <c r="C22" s="170" t="s">
        <v>110</v>
      </c>
      <c r="D22" s="171" t="s">
        <v>7</v>
      </c>
      <c r="E22" s="171" t="s">
        <v>230</v>
      </c>
      <c r="F22" s="170" t="s">
        <v>168</v>
      </c>
      <c r="G22" s="170" t="s">
        <v>169</v>
      </c>
      <c r="H22" s="170" t="s">
        <v>231</v>
      </c>
      <c r="I22" s="170" t="str">
        <f>CONCATENATE(Table_Query_from_MS_Access_Database4[[#This Row],[RTE]],Table_Query_from_MS_Access_Database4[[#This Row],[SEC]],Table_Query_from_MS_Access_Database4[[#This Row],[SEQ]])</f>
        <v>PCAT018</v>
      </c>
      <c r="J22" s="172">
        <v>42901</v>
      </c>
      <c r="K22" s="173">
        <v>42905</v>
      </c>
      <c r="L22" s="173">
        <v>42909</v>
      </c>
      <c r="M22" s="173">
        <v>42913</v>
      </c>
      <c r="N22" s="174"/>
      <c r="O22" s="174"/>
      <c r="P22" s="174"/>
      <c r="Q22" s="174">
        <v>1467559.74</v>
      </c>
      <c r="R22" s="174"/>
      <c r="S22" s="174"/>
      <c r="T22" s="174"/>
      <c r="U22" s="174">
        <f>+SUM(Table_Query_from_MS_Access_Database4[[#This Row],[HSIP]:[TA OVER 200K]])</f>
        <v>1467559.74</v>
      </c>
      <c r="V22" s="164">
        <f>V21-Table_Query_from_MS_Access_Database4[TOTAL OF AMOUNT]</f>
        <v>19252525.93</v>
      </c>
      <c r="W22" s="136"/>
      <c r="X22" s="136"/>
    </row>
    <row r="23" spans="1:24" s="53" customFormat="1" ht="13.2" x14ac:dyDescent="0.3">
      <c r="A23" s="175" t="s">
        <v>229</v>
      </c>
      <c r="B23" s="175"/>
      <c r="C23" s="175" t="s">
        <v>110</v>
      </c>
      <c r="D23" s="176" t="s">
        <v>8</v>
      </c>
      <c r="E23" s="176" t="s">
        <v>230</v>
      </c>
      <c r="F23" s="175" t="s">
        <v>168</v>
      </c>
      <c r="G23" s="175" t="s">
        <v>169</v>
      </c>
      <c r="H23" s="175" t="s">
        <v>231</v>
      </c>
      <c r="I23" s="175" t="str">
        <f>CONCATENATE(Table_Query_from_MS_Access_Database4[[#This Row],[RTE]],Table_Query_from_MS_Access_Database4[[#This Row],[SEC]],Table_Query_from_MS_Access_Database4[[#This Row],[SEQ]])</f>
        <v>PCAT018</v>
      </c>
      <c r="J23" s="177"/>
      <c r="K23" s="178">
        <v>42983</v>
      </c>
      <c r="L23" s="178">
        <v>42985</v>
      </c>
      <c r="M23" s="178">
        <v>42993</v>
      </c>
      <c r="N23" s="179"/>
      <c r="O23" s="179"/>
      <c r="P23" s="179"/>
      <c r="Q23" s="179"/>
      <c r="R23" s="179">
        <v>881903.83</v>
      </c>
      <c r="S23" s="179"/>
      <c r="T23" s="179"/>
      <c r="U23" s="179">
        <f>+SUM(Table_Query_from_MS_Access_Database4[[#This Row],[HSIP]:[TA OVER 200K]])</f>
        <v>881903.83</v>
      </c>
      <c r="V23" s="164">
        <f>V22-Table_Query_from_MS_Access_Database4[TOTAL OF AMOUNT]</f>
        <v>18370622.100000001</v>
      </c>
      <c r="W23" s="136"/>
      <c r="X23" s="136"/>
    </row>
    <row r="24" spans="1:24" s="53" customFormat="1" ht="26.4" x14ac:dyDescent="0.3">
      <c r="A24" s="128" t="s">
        <v>217</v>
      </c>
      <c r="B24" s="128" t="s">
        <v>154</v>
      </c>
      <c r="C24" s="128" t="s">
        <v>105</v>
      </c>
      <c r="D24" s="129" t="s">
        <v>7</v>
      </c>
      <c r="E24" s="129" t="s">
        <v>218</v>
      </c>
      <c r="F24" s="128" t="s">
        <v>219</v>
      </c>
      <c r="G24" s="128" t="s">
        <v>220</v>
      </c>
      <c r="H24" s="128" t="s">
        <v>221</v>
      </c>
      <c r="I24" s="128" t="str">
        <f>CONCATENATE(Table_Query_from_MS_Access_Database4[[#This Row],[RTE]],Table_Query_from_MS_Access_Database4[[#This Row],[SEC]],Table_Query_from_MS_Access_Database4[[#This Row],[SEQ]])</f>
        <v>094A287</v>
      </c>
      <c r="J24" s="130"/>
      <c r="K24" s="95">
        <v>42885</v>
      </c>
      <c r="L24" s="95">
        <v>42891</v>
      </c>
      <c r="M24" s="95">
        <v>42894</v>
      </c>
      <c r="N24" s="143"/>
      <c r="O24" s="143"/>
      <c r="P24" s="143"/>
      <c r="Q24" s="143">
        <v>50000</v>
      </c>
      <c r="R24" s="143"/>
      <c r="S24" s="143"/>
      <c r="T24" s="143"/>
      <c r="U24" s="143">
        <f>+SUM(Table_Query_from_MS_Access_Database4[[#This Row],[HSIP]:[TA OVER 200K]])</f>
        <v>50000</v>
      </c>
      <c r="V24" s="164">
        <f>V23-Table_Query_from_MS_Access_Database4[TOTAL OF AMOUNT]</f>
        <v>18320622.100000001</v>
      </c>
      <c r="W24" s="136"/>
      <c r="X24" s="136"/>
    </row>
    <row r="25" spans="1:24" s="53" customFormat="1" ht="13.2" x14ac:dyDescent="0.3">
      <c r="A25" s="128" t="s">
        <v>155</v>
      </c>
      <c r="B25" s="128" t="s">
        <v>156</v>
      </c>
      <c r="C25" s="128" t="s">
        <v>157</v>
      </c>
      <c r="D25" s="129" t="s">
        <v>7</v>
      </c>
      <c r="E25" s="129" t="s">
        <v>158</v>
      </c>
      <c r="F25" s="128" t="s">
        <v>159</v>
      </c>
      <c r="G25" s="128" t="s">
        <v>124</v>
      </c>
      <c r="H25" s="128" t="s">
        <v>160</v>
      </c>
      <c r="I25" s="128" t="str">
        <f>CONCATENATE(Table_Query_from_MS_Access_Database4[[#This Row],[RTE]],Table_Query_from_MS_Access_Database4[[#This Row],[SEC]],Table_Query_from_MS_Access_Database4[[#This Row],[SEQ]])</f>
        <v>MRN0014</v>
      </c>
      <c r="J25" s="130">
        <v>42704</v>
      </c>
      <c r="K25" s="95">
        <v>42710</v>
      </c>
      <c r="L25" s="95">
        <v>42711</v>
      </c>
      <c r="M25" s="95">
        <v>42724</v>
      </c>
      <c r="N25" s="143"/>
      <c r="O25" s="143"/>
      <c r="P25" s="143"/>
      <c r="Q25" s="143">
        <v>4962706</v>
      </c>
      <c r="R25" s="143">
        <v>9653794</v>
      </c>
      <c r="S25" s="143"/>
      <c r="T25" s="143">
        <v>137678</v>
      </c>
      <c r="U25" s="143">
        <f>+SUM(Table_Query_from_MS_Access_Database4[[#This Row],[HSIP]:[TA OVER 200K]])</f>
        <v>14754178</v>
      </c>
      <c r="V25" s="164">
        <f>V24-Table_Query_from_MS_Access_Database4[TOTAL OF AMOUNT]</f>
        <v>3566444.1000000015</v>
      </c>
      <c r="W25" s="136"/>
      <c r="X25" s="136"/>
    </row>
    <row r="26" spans="1:24" s="53" customFormat="1" ht="13.2" x14ac:dyDescent="0.3">
      <c r="A26" s="128" t="s">
        <v>155</v>
      </c>
      <c r="B26" s="128" t="s">
        <v>156</v>
      </c>
      <c r="C26" s="128" t="s">
        <v>157</v>
      </c>
      <c r="D26" s="129" t="s">
        <v>7</v>
      </c>
      <c r="E26" s="129" t="s">
        <v>158</v>
      </c>
      <c r="F26" s="128" t="s">
        <v>159</v>
      </c>
      <c r="G26" s="128" t="s">
        <v>124</v>
      </c>
      <c r="H26" s="128" t="s">
        <v>160</v>
      </c>
      <c r="I26" s="128" t="str">
        <f>CONCATENATE(Table_Query_from_MS_Access_Database4[[#This Row],[RTE]],Table_Query_from_MS_Access_Database4[[#This Row],[SEC]],Table_Query_from_MS_Access_Database4[[#This Row],[SEQ]])</f>
        <v>MRN0014</v>
      </c>
      <c r="J26" s="130">
        <v>42887</v>
      </c>
      <c r="K26" s="95">
        <v>42942</v>
      </c>
      <c r="L26" s="95">
        <v>42942</v>
      </c>
      <c r="M26" s="95">
        <v>42950</v>
      </c>
      <c r="N26" s="143"/>
      <c r="O26" s="143"/>
      <c r="P26" s="143"/>
      <c r="Q26" s="143">
        <v>883500</v>
      </c>
      <c r="R26" s="143"/>
      <c r="S26" s="143"/>
      <c r="T26" s="143"/>
      <c r="U26" s="143">
        <f>+SUM(Table_Query_from_MS_Access_Database4[[#This Row],[HSIP]:[TA OVER 200K]])</f>
        <v>883500</v>
      </c>
      <c r="V26" s="164">
        <f>V25-Table_Query_from_MS_Access_Database4[TOTAL OF AMOUNT]</f>
        <v>2682944.1000000015</v>
      </c>
      <c r="W26" s="136"/>
      <c r="X26" s="136"/>
    </row>
    <row r="27" spans="1:24" s="53" customFormat="1" ht="26.4" x14ac:dyDescent="0.3">
      <c r="A27" s="180" t="s">
        <v>241</v>
      </c>
      <c r="B27" s="180" t="s">
        <v>209</v>
      </c>
      <c r="C27" s="180" t="s">
        <v>139</v>
      </c>
      <c r="D27" s="181" t="s">
        <v>8</v>
      </c>
      <c r="E27" s="181" t="s">
        <v>242</v>
      </c>
      <c r="F27" s="180" t="s">
        <v>125</v>
      </c>
      <c r="G27" s="180" t="s">
        <v>124</v>
      </c>
      <c r="H27" s="180" t="s">
        <v>243</v>
      </c>
      <c r="I27" s="180" t="str">
        <f>CONCATENATE(Table_Query_from_MS_Access_Database4[[#This Row],[RTE]],Table_Query_from_MS_Access_Database4[[#This Row],[SEC]],Table_Query_from_MS_Access_Database4[[#This Row],[SEQ]])</f>
        <v>TUC0252</v>
      </c>
      <c r="J27" s="182"/>
      <c r="K27" s="183">
        <v>42880</v>
      </c>
      <c r="L27" s="183">
        <v>42928</v>
      </c>
      <c r="M27" s="183">
        <v>42940</v>
      </c>
      <c r="N27" s="184"/>
      <c r="O27" s="184"/>
      <c r="P27" s="184"/>
      <c r="Q27" s="184"/>
      <c r="R27" s="184">
        <v>25000</v>
      </c>
      <c r="S27" s="184"/>
      <c r="T27" s="184"/>
      <c r="U27" s="184">
        <f>+SUM(Table_Query_from_MS_Access_Database4[[#This Row],[HSIP]:[TA OVER 200K]])</f>
        <v>25000</v>
      </c>
      <c r="V27" s="164">
        <f>V26-Table_Query_from_MS_Access_Database4[TOTAL OF AMOUNT]</f>
        <v>2657944.1000000015</v>
      </c>
      <c r="W27" s="136"/>
      <c r="X27" s="136"/>
    </row>
    <row r="28" spans="1:24" s="53" customFormat="1" ht="26.4" x14ac:dyDescent="0.3">
      <c r="A28" s="180" t="s">
        <v>197</v>
      </c>
      <c r="B28" s="180" t="s">
        <v>198</v>
      </c>
      <c r="C28" s="180" t="s">
        <v>139</v>
      </c>
      <c r="D28" s="181" t="s">
        <v>9</v>
      </c>
      <c r="E28" s="181" t="s">
        <v>199</v>
      </c>
      <c r="F28" s="180" t="s">
        <v>125</v>
      </c>
      <c r="G28" s="180" t="s">
        <v>124</v>
      </c>
      <c r="H28" s="180" t="s">
        <v>200</v>
      </c>
      <c r="I28" s="180" t="str">
        <f>CONCATENATE(Table_Query_from_MS_Access_Database4[[#This Row],[RTE]],Table_Query_from_MS_Access_Database4[[#This Row],[SEC]],Table_Query_from_MS_Access_Database4[[#This Row],[SEQ]])</f>
        <v>TUC0240</v>
      </c>
      <c r="J28" s="182"/>
      <c r="K28" s="183">
        <v>42718</v>
      </c>
      <c r="L28" s="183">
        <v>42718</v>
      </c>
      <c r="M28" s="183">
        <v>42718</v>
      </c>
      <c r="N28" s="184">
        <v>-64380.18</v>
      </c>
      <c r="O28" s="184"/>
      <c r="P28" s="184"/>
      <c r="Q28" s="184"/>
      <c r="R28" s="184"/>
      <c r="S28" s="184"/>
      <c r="T28" s="184"/>
      <c r="U28" s="184">
        <f>+SUM(Table_Query_from_MS_Access_Database4[[#This Row],[HSIP]:[TA OVER 200K]])</f>
        <v>-64380.18</v>
      </c>
      <c r="V28" s="164">
        <f>V27-Table_Query_from_MS_Access_Database4[TOTAL OF AMOUNT]</f>
        <v>2722324.2800000017</v>
      </c>
      <c r="W28" s="136"/>
      <c r="X28" s="136"/>
    </row>
    <row r="29" spans="1:24" s="53" customFormat="1" ht="26.4" x14ac:dyDescent="0.3">
      <c r="A29" s="180" t="s">
        <v>149</v>
      </c>
      <c r="B29" s="180" t="s">
        <v>150</v>
      </c>
      <c r="C29" s="180" t="s">
        <v>139</v>
      </c>
      <c r="D29" s="181" t="s">
        <v>7</v>
      </c>
      <c r="E29" s="181" t="s">
        <v>151</v>
      </c>
      <c r="F29" s="180" t="s">
        <v>125</v>
      </c>
      <c r="G29" s="180" t="s">
        <v>124</v>
      </c>
      <c r="H29" s="180" t="s">
        <v>152</v>
      </c>
      <c r="I29" s="180" t="str">
        <f>CONCATENATE(Table_Query_from_MS_Access_Database4[[#This Row],[RTE]],Table_Query_from_MS_Access_Database4[[#This Row],[SEC]],Table_Query_from_MS_Access_Database4[[#This Row],[SEQ]])</f>
        <v>TUC0247</v>
      </c>
      <c r="J29" s="182">
        <v>42886</v>
      </c>
      <c r="K29" s="183">
        <v>42922</v>
      </c>
      <c r="L29" s="183">
        <v>42922</v>
      </c>
      <c r="M29" s="183">
        <v>42940</v>
      </c>
      <c r="N29" s="184">
        <v>143414.5</v>
      </c>
      <c r="O29" s="184"/>
      <c r="P29" s="184"/>
      <c r="Q29" s="184"/>
      <c r="R29" s="184"/>
      <c r="S29" s="184"/>
      <c r="T29" s="184"/>
      <c r="U29" s="184">
        <f>+SUM(Table_Query_from_MS_Access_Database4[[#This Row],[HSIP]:[TA OVER 200K]])</f>
        <v>143414.5</v>
      </c>
      <c r="V29" s="164">
        <f>V28-Table_Query_from_MS_Access_Database4[TOTAL OF AMOUNT]</f>
        <v>2578909.7800000017</v>
      </c>
      <c r="W29" s="136"/>
      <c r="X29" s="136"/>
    </row>
    <row r="30" spans="1:24" s="53" customFormat="1" ht="13.2" x14ac:dyDescent="0.3">
      <c r="A30" s="180" t="s">
        <v>237</v>
      </c>
      <c r="B30" s="180" t="s">
        <v>238</v>
      </c>
      <c r="C30" s="180" t="s">
        <v>126</v>
      </c>
      <c r="D30" s="181" t="s">
        <v>9</v>
      </c>
      <c r="E30" s="181" t="s">
        <v>239</v>
      </c>
      <c r="F30" s="180" t="s">
        <v>127</v>
      </c>
      <c r="G30" s="180" t="s">
        <v>124</v>
      </c>
      <c r="H30" s="180" t="s">
        <v>240</v>
      </c>
      <c r="I30" s="180" t="str">
        <f>CONCATENATE(Table_Query_from_MS_Access_Database4[[#This Row],[RTE]],Table_Query_from_MS_Access_Database4[[#This Row],[SEC]],Table_Query_from_MS_Access_Database4[[#This Row],[SEQ]])</f>
        <v>PPM0200</v>
      </c>
      <c r="J30" s="182"/>
      <c r="K30" s="183">
        <v>42928</v>
      </c>
      <c r="L30" s="183">
        <v>42928</v>
      </c>
      <c r="M30" s="183">
        <v>42964</v>
      </c>
      <c r="N30" s="184"/>
      <c r="O30" s="184"/>
      <c r="P30" s="184"/>
      <c r="Q30" s="184"/>
      <c r="R30" s="184">
        <v>-46169.56</v>
      </c>
      <c r="S30" s="184"/>
      <c r="T30" s="184"/>
      <c r="U30" s="184">
        <f>+SUM(Table_Query_from_MS_Access_Database4[[#This Row],[HSIP]:[TA OVER 200K]])</f>
        <v>-46169.56</v>
      </c>
      <c r="V30" s="164">
        <f>V29-Table_Query_from_MS_Access_Database4[TOTAL OF AMOUNT]</f>
        <v>2625079.3400000017</v>
      </c>
      <c r="W30" s="136"/>
      <c r="X30" s="136"/>
    </row>
    <row r="31" spans="1:24" s="53" customFormat="1" ht="13.2" x14ac:dyDescent="0.3">
      <c r="A31" s="180" t="s">
        <v>203</v>
      </c>
      <c r="B31" s="180" t="s">
        <v>196</v>
      </c>
      <c r="C31" s="180" t="s">
        <v>139</v>
      </c>
      <c r="D31" s="181" t="s">
        <v>7</v>
      </c>
      <c r="E31" s="181" t="s">
        <v>204</v>
      </c>
      <c r="F31" s="180" t="s">
        <v>125</v>
      </c>
      <c r="G31" s="180" t="s">
        <v>124</v>
      </c>
      <c r="H31" s="180" t="s">
        <v>205</v>
      </c>
      <c r="I31" s="180" t="str">
        <f>CONCATENATE(Table_Query_from_MS_Access_Database4[[#This Row],[RTE]],Table_Query_from_MS_Access_Database4[[#This Row],[SEC]],Table_Query_from_MS_Access_Database4[[#This Row],[SEQ]])</f>
        <v>TUC0218</v>
      </c>
      <c r="J31" s="182">
        <v>42736</v>
      </c>
      <c r="K31" s="183">
        <v>42762</v>
      </c>
      <c r="L31" s="183">
        <v>42789</v>
      </c>
      <c r="M31" s="183">
        <v>42795</v>
      </c>
      <c r="N31" s="184"/>
      <c r="O31" s="184"/>
      <c r="P31" s="184"/>
      <c r="Q31" s="184"/>
      <c r="R31" s="184"/>
      <c r="S31" s="184"/>
      <c r="T31" s="184">
        <v>79909</v>
      </c>
      <c r="U31" s="184">
        <f>+SUM(Table_Query_from_MS_Access_Database4[[#This Row],[HSIP]:[TA OVER 200K]])</f>
        <v>79909</v>
      </c>
      <c r="V31" s="164">
        <f>V30-Table_Query_from_MS_Access_Database4[TOTAL OF AMOUNT]</f>
        <v>2545170.3400000017</v>
      </c>
      <c r="W31" s="136"/>
      <c r="X31" s="136"/>
    </row>
    <row r="32" spans="1:24" s="53" customFormat="1" ht="26.4" x14ac:dyDescent="0.3">
      <c r="A32" s="180" t="s">
        <v>174</v>
      </c>
      <c r="B32" s="180" t="s">
        <v>175</v>
      </c>
      <c r="C32" s="180" t="s">
        <v>126</v>
      </c>
      <c r="D32" s="181" t="s">
        <v>21</v>
      </c>
      <c r="E32" s="181" t="s">
        <v>176</v>
      </c>
      <c r="F32" s="180" t="s">
        <v>127</v>
      </c>
      <c r="G32" s="180" t="s">
        <v>124</v>
      </c>
      <c r="H32" s="180" t="s">
        <v>145</v>
      </c>
      <c r="I32" s="180" t="str">
        <f>CONCATENATE(Table_Query_from_MS_Access_Database4[[#This Row],[RTE]],Table_Query_from_MS_Access_Database4[[#This Row],[SEC]],Table_Query_from_MS_Access_Database4[[#This Row],[SEQ]])</f>
        <v>PPM0228</v>
      </c>
      <c r="J32" s="182"/>
      <c r="K32" s="183">
        <v>42683</v>
      </c>
      <c r="L32" s="183">
        <v>42684</v>
      </c>
      <c r="M32" s="183">
        <v>42689</v>
      </c>
      <c r="N32" s="184"/>
      <c r="O32" s="184"/>
      <c r="P32" s="184"/>
      <c r="Q32" s="184"/>
      <c r="R32" s="184"/>
      <c r="S32" s="184"/>
      <c r="T32" s="184">
        <v>250000</v>
      </c>
      <c r="U32" s="184">
        <f>+SUM(Table_Query_from_MS_Access_Database4[[#This Row],[HSIP]:[TA OVER 200K]])</f>
        <v>250000</v>
      </c>
      <c r="V32" s="164">
        <f>V31-Table_Query_from_MS_Access_Database4[TOTAL OF AMOUNT]</f>
        <v>2295170.3400000017</v>
      </c>
      <c r="W32" s="136"/>
      <c r="X32" s="136"/>
    </row>
    <row r="33" spans="1:24" s="53" customFormat="1" ht="13.2" x14ac:dyDescent="0.3">
      <c r="A33" s="180" t="s">
        <v>184</v>
      </c>
      <c r="B33" s="180" t="s">
        <v>185</v>
      </c>
      <c r="C33" s="180" t="s">
        <v>139</v>
      </c>
      <c r="D33" s="181" t="s">
        <v>22</v>
      </c>
      <c r="E33" s="181" t="s">
        <v>186</v>
      </c>
      <c r="F33" s="180" t="s">
        <v>125</v>
      </c>
      <c r="G33" s="180" t="s">
        <v>124</v>
      </c>
      <c r="H33" s="180" t="s">
        <v>187</v>
      </c>
      <c r="I33" s="180" t="str">
        <f>CONCATENATE(Table_Query_from_MS_Access_Database4[[#This Row],[RTE]],Table_Query_from_MS_Access_Database4[[#This Row],[SEC]],Table_Query_from_MS_Access_Database4[[#This Row],[SEQ]])</f>
        <v>TUC0201</v>
      </c>
      <c r="J33" s="182">
        <v>42962</v>
      </c>
      <c r="K33" s="183">
        <v>42989</v>
      </c>
      <c r="L33" s="183">
        <v>42989</v>
      </c>
      <c r="M33" s="183">
        <v>42990</v>
      </c>
      <c r="N33" s="184"/>
      <c r="O33" s="184"/>
      <c r="P33" s="184"/>
      <c r="Q33" s="184"/>
      <c r="R33" s="184">
        <v>765000</v>
      </c>
      <c r="S33" s="184"/>
      <c r="T33" s="184"/>
      <c r="U33" s="184">
        <f>+SUM(Table_Query_from_MS_Access_Database4[[#This Row],[HSIP]:[TA OVER 200K]])</f>
        <v>765000</v>
      </c>
      <c r="V33" s="164">
        <f>V32-Table_Query_from_MS_Access_Database4[TOTAL OF AMOUNT]</f>
        <v>1530170.3400000017</v>
      </c>
      <c r="W33" s="136"/>
      <c r="X33" s="136"/>
    </row>
    <row r="34" spans="1:24" s="53" customFormat="1" ht="13.2" x14ac:dyDescent="0.3">
      <c r="A34" s="180" t="s">
        <v>214</v>
      </c>
      <c r="B34" s="180" t="s">
        <v>215</v>
      </c>
      <c r="C34" s="180" t="s">
        <v>139</v>
      </c>
      <c r="D34" s="181" t="s">
        <v>9</v>
      </c>
      <c r="E34" s="181" t="s">
        <v>216</v>
      </c>
      <c r="F34" s="180" t="s">
        <v>125</v>
      </c>
      <c r="G34" s="180" t="s">
        <v>124</v>
      </c>
      <c r="H34" s="180" t="s">
        <v>213</v>
      </c>
      <c r="I34" s="180" t="str">
        <f>CONCATENATE(Table_Query_from_MS_Access_Database4[[#This Row],[RTE]],Table_Query_from_MS_Access_Database4[[#This Row],[SEC]],Table_Query_from_MS_Access_Database4[[#This Row],[SEQ]])</f>
        <v>TUC0226</v>
      </c>
      <c r="J34" s="182"/>
      <c r="K34" s="183">
        <v>42867</v>
      </c>
      <c r="L34" s="183">
        <v>42867</v>
      </c>
      <c r="M34" s="183">
        <v>42879</v>
      </c>
      <c r="N34" s="184"/>
      <c r="O34" s="184"/>
      <c r="P34" s="184"/>
      <c r="Q34" s="184"/>
      <c r="R34" s="184">
        <v>-270186.21999999997</v>
      </c>
      <c r="S34" s="184"/>
      <c r="T34" s="184"/>
      <c r="U34" s="184">
        <f>+SUM(Table_Query_from_MS_Access_Database4[[#This Row],[HSIP]:[TA OVER 200K]])</f>
        <v>-270186.21999999997</v>
      </c>
      <c r="V34" s="164">
        <f>V33-Table_Query_from_MS_Access_Database4[TOTAL OF AMOUNT]</f>
        <v>1800356.5600000017</v>
      </c>
      <c r="W34" s="136"/>
      <c r="X34" s="136"/>
    </row>
    <row r="35" spans="1:24" s="53" customFormat="1" ht="13.2" x14ac:dyDescent="0.3">
      <c r="A35" s="128" t="s">
        <v>211</v>
      </c>
      <c r="B35" s="128"/>
      <c r="C35" s="128" t="s">
        <v>139</v>
      </c>
      <c r="D35" s="129" t="s">
        <v>9</v>
      </c>
      <c r="E35" s="129" t="s">
        <v>212</v>
      </c>
      <c r="F35" s="128" t="s">
        <v>125</v>
      </c>
      <c r="G35" s="128" t="s">
        <v>124</v>
      </c>
      <c r="H35" s="128" t="s">
        <v>213</v>
      </c>
      <c r="I35" s="128" t="str">
        <f>CONCATENATE(Table_Query_from_MS_Access_Database4[[#This Row],[RTE]],Table_Query_from_MS_Access_Database4[[#This Row],[SEC]],Table_Query_from_MS_Access_Database4[[#This Row],[SEQ]])</f>
        <v>TUC0226</v>
      </c>
      <c r="J35" s="130"/>
      <c r="K35" s="95">
        <v>42867</v>
      </c>
      <c r="L35" s="95">
        <v>42867</v>
      </c>
      <c r="M35" s="95">
        <v>42879</v>
      </c>
      <c r="N35" s="143"/>
      <c r="O35" s="143"/>
      <c r="P35" s="143"/>
      <c r="Q35" s="143"/>
      <c r="R35" s="143">
        <v>-3643.5</v>
      </c>
      <c r="S35" s="143"/>
      <c r="T35" s="143"/>
      <c r="U35" s="143">
        <f>+SUM(Table_Query_from_MS_Access_Database4[[#This Row],[HSIP]:[TA OVER 200K]])</f>
        <v>-3643.5</v>
      </c>
      <c r="V35" s="164">
        <f>V34-Table_Query_from_MS_Access_Database4[TOTAL OF AMOUNT]</f>
        <v>1804000.0600000017</v>
      </c>
      <c r="W35" s="136"/>
      <c r="X35" s="136"/>
    </row>
    <row r="36" spans="1:24" s="53" customFormat="1" ht="13.2" x14ac:dyDescent="0.3">
      <c r="A36" s="128" t="s">
        <v>188</v>
      </c>
      <c r="B36" s="128" t="s">
        <v>189</v>
      </c>
      <c r="C36" s="128" t="s">
        <v>139</v>
      </c>
      <c r="D36" s="129" t="s">
        <v>7</v>
      </c>
      <c r="E36" s="129" t="s">
        <v>190</v>
      </c>
      <c r="F36" s="128" t="s">
        <v>125</v>
      </c>
      <c r="G36" s="128" t="s">
        <v>124</v>
      </c>
      <c r="H36" s="128" t="s">
        <v>191</v>
      </c>
      <c r="I36" s="128" t="str">
        <f>CONCATENATE(Table_Query_from_MS_Access_Database4[[#This Row],[RTE]],Table_Query_from_MS_Access_Database4[[#This Row],[SEC]],Table_Query_from_MS_Access_Database4[[#This Row],[SEQ]])</f>
        <v>TUC0259</v>
      </c>
      <c r="J36" s="130">
        <v>42849</v>
      </c>
      <c r="K36" s="95">
        <v>42902</v>
      </c>
      <c r="L36" s="95">
        <v>42906</v>
      </c>
      <c r="M36" s="95">
        <v>42913</v>
      </c>
      <c r="N36" s="143"/>
      <c r="O36" s="143"/>
      <c r="P36" s="143"/>
      <c r="Q36" s="143"/>
      <c r="R36" s="143">
        <v>500000</v>
      </c>
      <c r="S36" s="143"/>
      <c r="T36" s="143"/>
      <c r="U36" s="143">
        <f>+SUM(Table_Query_from_MS_Access_Database4[[#This Row],[HSIP]:[TA OVER 200K]])</f>
        <v>500000</v>
      </c>
      <c r="V36" s="164">
        <f>V35-Table_Query_from_MS_Access_Database4[TOTAL OF AMOUNT]</f>
        <v>1304000.0600000017</v>
      </c>
      <c r="W36" s="136"/>
      <c r="X36" s="136"/>
    </row>
    <row r="37" spans="1:24" s="53" customFormat="1" ht="13.2" x14ac:dyDescent="0.3">
      <c r="A37" s="128" t="s">
        <v>192</v>
      </c>
      <c r="B37" s="128" t="s">
        <v>193</v>
      </c>
      <c r="C37" s="128" t="s">
        <v>139</v>
      </c>
      <c r="D37" s="129" t="s">
        <v>7</v>
      </c>
      <c r="E37" s="129" t="s">
        <v>194</v>
      </c>
      <c r="F37" s="128" t="s">
        <v>125</v>
      </c>
      <c r="G37" s="128" t="s">
        <v>124</v>
      </c>
      <c r="H37" s="128" t="s">
        <v>195</v>
      </c>
      <c r="I37" s="128" t="str">
        <f>CONCATENATE(Table_Query_from_MS_Access_Database4[[#This Row],[RTE]],Table_Query_from_MS_Access_Database4[[#This Row],[SEC]],Table_Query_from_MS_Access_Database4[[#This Row],[SEQ]])</f>
        <v>TUC0260</v>
      </c>
      <c r="J37" s="130">
        <v>42736</v>
      </c>
      <c r="K37" s="95">
        <v>42788</v>
      </c>
      <c r="L37" s="95">
        <v>42796</v>
      </c>
      <c r="M37" s="95">
        <v>42800</v>
      </c>
      <c r="N37" s="143"/>
      <c r="O37" s="143"/>
      <c r="P37" s="143"/>
      <c r="Q37" s="143"/>
      <c r="R37" s="143">
        <v>200000</v>
      </c>
      <c r="S37" s="143"/>
      <c r="T37" s="143"/>
      <c r="U37" s="143">
        <f>+SUM(Table_Query_from_MS_Access_Database4[[#This Row],[HSIP]:[TA OVER 200K]])</f>
        <v>200000</v>
      </c>
      <c r="V37" s="164">
        <f>V36-Table_Query_from_MS_Access_Database4[TOTAL OF AMOUNT]</f>
        <v>1104000.0600000017</v>
      </c>
      <c r="W37" s="136"/>
      <c r="X37" s="136"/>
    </row>
    <row r="38" spans="1:24" s="53" customFormat="1" ht="26.4" x14ac:dyDescent="0.3">
      <c r="A38" s="128" t="s">
        <v>222</v>
      </c>
      <c r="B38" s="128" t="s">
        <v>206</v>
      </c>
      <c r="C38" s="128" t="s">
        <v>139</v>
      </c>
      <c r="D38" s="129" t="s">
        <v>7</v>
      </c>
      <c r="E38" s="129" t="s">
        <v>207</v>
      </c>
      <c r="F38" s="128" t="s">
        <v>125</v>
      </c>
      <c r="G38" s="128" t="s">
        <v>124</v>
      </c>
      <c r="H38" s="128" t="s">
        <v>228</v>
      </c>
      <c r="I38" s="128" t="str">
        <f>CONCATENATE(Table_Query_from_MS_Access_Database4[[#This Row],[RTE]],Table_Query_from_MS_Access_Database4[[#This Row],[SEC]],Table_Query_from_MS_Access_Database4[[#This Row],[SEQ]])</f>
        <v>TUC0264</v>
      </c>
      <c r="J38" s="130">
        <v>42887</v>
      </c>
      <c r="K38" s="95">
        <v>42887</v>
      </c>
      <c r="L38" s="95">
        <v>42909</v>
      </c>
      <c r="M38" s="95">
        <v>42913</v>
      </c>
      <c r="N38" s="143"/>
      <c r="O38" s="143"/>
      <c r="P38" s="143"/>
      <c r="Q38" s="143"/>
      <c r="R38" s="143"/>
      <c r="S38" s="143"/>
      <c r="T38" s="143">
        <v>50000</v>
      </c>
      <c r="U38" s="143">
        <f>+SUM(Table_Query_from_MS_Access_Database4[[#This Row],[HSIP]:[TA OVER 200K]])</f>
        <v>50000</v>
      </c>
      <c r="V38" s="164">
        <f>V37-Table_Query_from_MS_Access_Database4[TOTAL OF AMOUNT]</f>
        <v>1054000.0600000017</v>
      </c>
      <c r="W38" s="136"/>
      <c r="X38" s="136"/>
    </row>
    <row r="39" spans="1:24" s="53" customFormat="1" ht="26.4" x14ac:dyDescent="0.3">
      <c r="A39" s="185" t="s">
        <v>222</v>
      </c>
      <c r="B39" s="185" t="s">
        <v>206</v>
      </c>
      <c r="C39" s="185" t="s">
        <v>139</v>
      </c>
      <c r="D39" s="186" t="s">
        <v>8</v>
      </c>
      <c r="E39" s="186" t="s">
        <v>207</v>
      </c>
      <c r="F39" s="185" t="s">
        <v>125</v>
      </c>
      <c r="G39" s="185" t="s">
        <v>124</v>
      </c>
      <c r="H39" s="185" t="s">
        <v>228</v>
      </c>
      <c r="I39" s="185" t="str">
        <f>CONCATENATE(Table_Query_from_MS_Access_Database4[[#This Row],[RTE]],Table_Query_from_MS_Access_Database4[[#This Row],[SEC]],Table_Query_from_MS_Access_Database4[[#This Row],[SEQ]])</f>
        <v>TUC0264</v>
      </c>
      <c r="J39" s="187"/>
      <c r="K39" s="188">
        <v>42963</v>
      </c>
      <c r="L39" s="188">
        <v>42965</v>
      </c>
      <c r="M39" s="188">
        <v>42970</v>
      </c>
      <c r="N39" s="189"/>
      <c r="O39" s="189"/>
      <c r="P39" s="189"/>
      <c r="Q39" s="189"/>
      <c r="R39" s="189"/>
      <c r="S39" s="189"/>
      <c r="T39" s="189">
        <v>70000</v>
      </c>
      <c r="U39" s="189">
        <f>+SUM(Table_Query_from_MS_Access_Database4[[#This Row],[HSIP]:[TA OVER 200K]])</f>
        <v>70000</v>
      </c>
      <c r="V39" s="164">
        <f>V38-Table_Query_from_MS_Access_Database4[TOTAL OF AMOUNT]</f>
        <v>984000.06000000169</v>
      </c>
      <c r="W39" s="136"/>
      <c r="X39" s="136"/>
    </row>
    <row r="40" spans="1:24" s="53" customFormat="1" ht="39.6" x14ac:dyDescent="0.3">
      <c r="A40" s="185" t="s">
        <v>223</v>
      </c>
      <c r="B40" s="185" t="s">
        <v>210</v>
      </c>
      <c r="C40" s="185" t="s">
        <v>126</v>
      </c>
      <c r="D40" s="186" t="s">
        <v>7</v>
      </c>
      <c r="E40" s="186" t="s">
        <v>224</v>
      </c>
      <c r="F40" s="185" t="s">
        <v>127</v>
      </c>
      <c r="G40" s="185" t="s">
        <v>124</v>
      </c>
      <c r="H40" s="185" t="s">
        <v>232</v>
      </c>
      <c r="I40" s="185" t="str">
        <f>CONCATENATE(Table_Query_from_MS_Access_Database4[[#This Row],[RTE]],Table_Query_from_MS_Access_Database4[[#This Row],[SEC]],Table_Query_from_MS_Access_Database4[[#This Row],[SEQ]])</f>
        <v>PPM0263</v>
      </c>
      <c r="J40" s="187">
        <v>42887</v>
      </c>
      <c r="K40" s="188">
        <v>42858</v>
      </c>
      <c r="L40" s="188">
        <v>42893</v>
      </c>
      <c r="M40" s="188">
        <v>42915</v>
      </c>
      <c r="N40" s="189"/>
      <c r="O40" s="189"/>
      <c r="P40" s="189"/>
      <c r="Q40" s="189"/>
      <c r="R40" s="189"/>
      <c r="S40" s="189"/>
      <c r="T40" s="189">
        <v>341000</v>
      </c>
      <c r="U40" s="189">
        <f>+SUM(Table_Query_from_MS_Access_Database4[[#This Row],[HSIP]:[TA OVER 200K]])</f>
        <v>341000</v>
      </c>
      <c r="V40" s="164">
        <f>V39-Table_Query_from_MS_Access_Database4[TOTAL OF AMOUNT]</f>
        <v>643000.06000000169</v>
      </c>
      <c r="W40" s="136"/>
      <c r="X40" s="136"/>
    </row>
    <row r="41" spans="1:24" s="53" customFormat="1" ht="13.2" x14ac:dyDescent="0.3">
      <c r="A41" s="185" t="s">
        <v>227</v>
      </c>
      <c r="B41" s="185" t="s">
        <v>208</v>
      </c>
      <c r="C41" s="185" t="s">
        <v>126</v>
      </c>
      <c r="D41" s="186" t="s">
        <v>7</v>
      </c>
      <c r="E41" s="186" t="s">
        <v>173</v>
      </c>
      <c r="F41" s="185" t="s">
        <v>127</v>
      </c>
      <c r="G41" s="185" t="s">
        <v>124</v>
      </c>
      <c r="H41" s="185" t="s">
        <v>228</v>
      </c>
      <c r="I41" s="185" t="str">
        <f>CONCATENATE(Table_Query_from_MS_Access_Database4[[#This Row],[RTE]],Table_Query_from_MS_Access_Database4[[#This Row],[SEC]],Table_Query_from_MS_Access_Database4[[#This Row],[SEQ]])</f>
        <v>PPM0264</v>
      </c>
      <c r="J41" s="187">
        <v>42887</v>
      </c>
      <c r="K41" s="188">
        <v>42888</v>
      </c>
      <c r="L41" s="188">
        <v>42942</v>
      </c>
      <c r="M41" s="188">
        <v>42963</v>
      </c>
      <c r="N41" s="189">
        <v>643000</v>
      </c>
      <c r="O41" s="189"/>
      <c r="P41" s="189"/>
      <c r="Q41" s="189"/>
      <c r="R41" s="189"/>
      <c r="S41" s="189"/>
      <c r="T41" s="189"/>
      <c r="U41" s="189">
        <f>+SUM(Table_Query_from_MS_Access_Database4[[#This Row],[HSIP]:[TA OVER 200K]])</f>
        <v>643000</v>
      </c>
      <c r="V41" s="164">
        <f>V40-Table_Query_from_MS_Access_Database4[TOTAL OF AMOUNT]</f>
        <v>6.000000168569386E-2</v>
      </c>
      <c r="W41" s="136"/>
      <c r="X41" s="136"/>
    </row>
    <row r="42" spans="1:24" s="53" customFormat="1" ht="13.2" x14ac:dyDescent="0.3">
      <c r="A42" s="132"/>
      <c r="B42" s="132"/>
      <c r="C42" s="132"/>
      <c r="D42" s="82"/>
      <c r="E42" s="82"/>
      <c r="J42" s="96"/>
      <c r="K42" s="96"/>
      <c r="L42" s="96"/>
      <c r="M42" s="106" t="s">
        <v>84</v>
      </c>
      <c r="N42" s="133">
        <f>+SUM(Table_Query_from_MS_Access_Database4[[#All],[HSIP]])</f>
        <v>722034.32000000007</v>
      </c>
      <c r="O42" s="133">
        <f>+SUM(Table_Query_from_MS_Access_Database4[[#All],[PL]])</f>
        <v>977586</v>
      </c>
      <c r="P42" s="133">
        <f>+SUM(Table_Query_from_MS_Access_Database4[[#All],[SPR]])</f>
        <v>0</v>
      </c>
      <c r="Q42" s="133">
        <f>+SUM(Table_Query_from_MS_Access_Database4[[#All],[STP OTHER]])</f>
        <v>7363765.7400000002</v>
      </c>
      <c r="R42" s="133">
        <f>+SUM(Table_Query_from_MS_Access_Database4[[#All],[STP OVER 200K]])</f>
        <v>13984216.879999999</v>
      </c>
      <c r="S42" s="133">
        <f>+SUM(Table_Query_from_MS_Access_Database4[[#All],[TA OTHER]])</f>
        <v>0</v>
      </c>
      <c r="T42" s="133">
        <f>+SUM(Table_Query_from_MS_Access_Database4[[#All],[TA OVER 200K]])</f>
        <v>928587</v>
      </c>
      <c r="U42" s="133">
        <f>+SUM(Table_Query_from_MS_Access_Database4[[#All],[TOTAL OF AMOUNT]])</f>
        <v>23976189.940000001</v>
      </c>
      <c r="V42" s="114"/>
      <c r="W42" s="108"/>
      <c r="X42" s="109"/>
    </row>
    <row r="43" spans="1:24" s="53" customFormat="1" ht="13.2" x14ac:dyDescent="0.3">
      <c r="A43" s="132"/>
      <c r="B43" s="132"/>
      <c r="C43" s="132"/>
      <c r="D43" s="82"/>
      <c r="E43" s="82"/>
      <c r="J43" s="96"/>
      <c r="K43" s="96"/>
      <c r="L43" s="96"/>
      <c r="M43" s="107" t="s">
        <v>83</v>
      </c>
      <c r="N43" s="134">
        <f t="shared" ref="N43:U43" si="2">+N13-N42</f>
        <v>1185778.68</v>
      </c>
      <c r="O43" s="134">
        <f t="shared" si="2"/>
        <v>0</v>
      </c>
      <c r="P43" s="134">
        <f t="shared" si="2"/>
        <v>350000</v>
      </c>
      <c r="Q43" s="134">
        <f t="shared" si="2"/>
        <v>400082.25999999978</v>
      </c>
      <c r="R43" s="134">
        <f t="shared" si="2"/>
        <v>711522.30000000075</v>
      </c>
      <c r="S43" s="134">
        <f t="shared" si="2"/>
        <v>171205</v>
      </c>
      <c r="T43" s="134">
        <f t="shared" si="2"/>
        <v>402696</v>
      </c>
      <c r="U43" s="134">
        <f t="shared" si="2"/>
        <v>3221284.2399999984</v>
      </c>
      <c r="V43" s="114"/>
      <c r="W43" s="108"/>
      <c r="X43" s="109"/>
    </row>
    <row r="44" spans="1:24" s="51" customFormat="1" x14ac:dyDescent="0.3">
      <c r="A44" s="94"/>
      <c r="B44" s="94"/>
      <c r="C44" s="94"/>
      <c r="D44" s="82"/>
      <c r="E44" s="82"/>
      <c r="F44" s="53"/>
      <c r="G44" s="53"/>
      <c r="H44" s="53"/>
      <c r="I44" s="53"/>
      <c r="J44" s="96"/>
      <c r="K44" s="96"/>
      <c r="L44" s="96"/>
      <c r="M44" s="96"/>
      <c r="N44" s="97"/>
      <c r="O44" s="97"/>
      <c r="P44" s="97"/>
      <c r="Q44" s="97"/>
      <c r="R44" s="97"/>
      <c r="S44" s="97"/>
      <c r="T44" s="97"/>
      <c r="U44" s="97"/>
      <c r="V44" s="57"/>
      <c r="W44" s="54"/>
      <c r="X44" s="55"/>
    </row>
    <row r="45" spans="1:24" s="54" customFormat="1" ht="16.8" x14ac:dyDescent="0.3">
      <c r="A45" s="197" t="s">
        <v>36</v>
      </c>
      <c r="B45" s="197"/>
      <c r="C45" s="197"/>
      <c r="D45" s="197"/>
      <c r="E45" s="82"/>
      <c r="F45" s="98"/>
      <c r="G45" s="98"/>
      <c r="H45" s="98"/>
      <c r="I45" s="53"/>
      <c r="J45" s="96"/>
      <c r="K45" s="96"/>
      <c r="L45" s="96"/>
      <c r="M45" s="96"/>
      <c r="N45" s="97"/>
      <c r="O45" s="97"/>
      <c r="P45" s="97"/>
      <c r="Q45" s="97"/>
      <c r="R45" s="97"/>
      <c r="S45" s="97"/>
      <c r="T45" s="97"/>
      <c r="U45" s="97"/>
      <c r="V45" s="57"/>
      <c r="W45" s="85"/>
      <c r="X45" s="85"/>
    </row>
    <row r="46" spans="1:24" s="108" customFormat="1" ht="39.6" x14ac:dyDescent="0.3">
      <c r="A46" s="100" t="s">
        <v>1</v>
      </c>
      <c r="B46" s="100" t="s">
        <v>0</v>
      </c>
      <c r="C46" s="100" t="s">
        <v>3</v>
      </c>
      <c r="D46" s="99" t="s">
        <v>92</v>
      </c>
      <c r="E46" s="99" t="s">
        <v>2</v>
      </c>
      <c r="F46" s="99" t="s">
        <v>52</v>
      </c>
      <c r="G46" s="99" t="s">
        <v>53</v>
      </c>
      <c r="H46" s="99" t="s">
        <v>54</v>
      </c>
      <c r="I46" s="99" t="s">
        <v>60</v>
      </c>
      <c r="J46" s="99" t="s">
        <v>55</v>
      </c>
      <c r="K46" s="99" t="s">
        <v>56</v>
      </c>
      <c r="L46" s="99" t="s">
        <v>57</v>
      </c>
      <c r="M46" s="99" t="s">
        <v>58</v>
      </c>
      <c r="N46" s="99" t="s">
        <v>4</v>
      </c>
      <c r="O46" s="99" t="s">
        <v>45</v>
      </c>
      <c r="P46" s="99" t="s">
        <v>5</v>
      </c>
      <c r="Q46" s="99" t="s">
        <v>59</v>
      </c>
      <c r="R46" s="99" t="s">
        <v>102</v>
      </c>
      <c r="S46" s="99" t="s">
        <v>103</v>
      </c>
      <c r="T46" s="99" t="s">
        <v>104</v>
      </c>
      <c r="U46" s="99" t="s">
        <v>94</v>
      </c>
      <c r="V46" s="105" t="s">
        <v>61</v>
      </c>
      <c r="W46" s="85"/>
      <c r="X46" s="85"/>
    </row>
    <row r="47" spans="1:24" s="53" customFormat="1" ht="13.2" x14ac:dyDescent="0.3">
      <c r="A47" s="149"/>
      <c r="B47" s="151"/>
      <c r="C47" s="149"/>
      <c r="D47" s="150"/>
      <c r="E47" s="82"/>
      <c r="F47" s="98"/>
      <c r="G47" s="98"/>
      <c r="H47" s="98"/>
      <c r="I47" s="98" t="str">
        <f>CONCATENATE(Table_Query_from_MS_Access_Database_1[[#This Row],[RTE]],Table_Query_from_MS_Access_Database_1[[#This Row],[SEC]],Table_Query_from_MS_Access_Database_1[[#This Row],[SEQ]])</f>
        <v/>
      </c>
      <c r="J47" s="95"/>
      <c r="K47" s="95"/>
      <c r="L47" s="95"/>
      <c r="M47" s="95"/>
      <c r="N47" s="114"/>
      <c r="O47" s="113"/>
      <c r="P47" s="113"/>
      <c r="Q47" s="113"/>
      <c r="R47" s="113"/>
      <c r="S47" s="113"/>
      <c r="T47" s="113"/>
      <c r="U47" s="113">
        <f>SUM(Table_Query_from_MS_Access_Database_1[[HSIP]:[TA OVER 200K]])</f>
        <v>0</v>
      </c>
      <c r="V47" s="113">
        <f>V41-Table_Query_from_MS_Access_Database_1[TOTAL OF AMOUNT]</f>
        <v>6.000000168569386E-2</v>
      </c>
      <c r="W47" s="85"/>
      <c r="X47" s="85"/>
    </row>
    <row r="48" spans="1:24" s="53" customFormat="1" ht="13.2" x14ac:dyDescent="0.3">
      <c r="A48" s="132"/>
      <c r="B48" s="132"/>
      <c r="C48" s="132"/>
      <c r="D48" s="82"/>
      <c r="E48" s="82"/>
      <c r="J48" s="96"/>
      <c r="K48" s="96"/>
      <c r="L48" s="96"/>
      <c r="M48" s="106" t="s">
        <v>84</v>
      </c>
      <c r="N48" s="133">
        <f>+SUM(Table_Query_from_MS_Access_Database_1[[#All],[HSIP]])</f>
        <v>0</v>
      </c>
      <c r="O48" s="133">
        <f>+SUM(Table_Query_from_MS_Access_Database_1[[#All],[PL]])</f>
        <v>0</v>
      </c>
      <c r="P48" s="133">
        <f>+SUM(Table_Query_from_MS_Access_Database_1[[#All],[SPR]])</f>
        <v>0</v>
      </c>
      <c r="Q48" s="133">
        <f>+SUM(Table_Query_from_MS_Access_Database_1[[#All],[STP OTHER]])</f>
        <v>0</v>
      </c>
      <c r="R48" s="133">
        <f>+SUM(Table_Query_from_MS_Access_Database_1[[#All],[STP OVER 200K]])</f>
        <v>0</v>
      </c>
      <c r="S48" s="133">
        <f>+SUM(Table_Query_from_MS_Access_Database_1[[#All],[TA OTHER]])</f>
        <v>0</v>
      </c>
      <c r="T48" s="133">
        <f>+SUM(Table_Query_from_MS_Access_Database_1[[#All],[TA OVER 200K]])</f>
        <v>0</v>
      </c>
      <c r="U48" s="133">
        <f>+SUM(Table_Query_from_MS_Access_Database_1[[#All],[TOTAL OF AMOUNT]])</f>
        <v>0</v>
      </c>
      <c r="V48" s="114"/>
      <c r="W48" s="108"/>
      <c r="X48" s="109"/>
    </row>
    <row r="49" spans="1:24" s="53" customFormat="1" ht="13.2" x14ac:dyDescent="0.3">
      <c r="A49" s="132"/>
      <c r="B49" s="132"/>
      <c r="C49" s="132"/>
      <c r="D49" s="82"/>
      <c r="E49" s="82"/>
      <c r="J49" s="96"/>
      <c r="K49" s="96"/>
      <c r="L49" s="96"/>
      <c r="M49" s="107" t="s">
        <v>83</v>
      </c>
      <c r="N49" s="134">
        <f t="shared" ref="N49:U49" si="3">+N43-N48</f>
        <v>1185778.68</v>
      </c>
      <c r="O49" s="134">
        <f t="shared" si="3"/>
        <v>0</v>
      </c>
      <c r="P49" s="134">
        <f t="shared" si="3"/>
        <v>350000</v>
      </c>
      <c r="Q49" s="134">
        <f t="shared" si="3"/>
        <v>400082.25999999978</v>
      </c>
      <c r="R49" s="134">
        <f t="shared" si="3"/>
        <v>711522.30000000075</v>
      </c>
      <c r="S49" s="135">
        <f t="shared" si="3"/>
        <v>171205</v>
      </c>
      <c r="T49" s="134">
        <f t="shared" si="3"/>
        <v>402696</v>
      </c>
      <c r="U49" s="134">
        <f t="shared" si="3"/>
        <v>3221284.2399999984</v>
      </c>
      <c r="V49" s="114"/>
      <c r="W49" s="108"/>
      <c r="X49" s="109"/>
    </row>
    <row r="50" spans="1:24" s="53" customFormat="1" ht="14.4" x14ac:dyDescent="0.3">
      <c r="A50" s="94"/>
      <c r="B50" s="94"/>
      <c r="C50" s="94"/>
      <c r="D50" s="82"/>
      <c r="E50" s="82"/>
      <c r="J50" s="96"/>
      <c r="K50" s="96"/>
      <c r="L50" s="96"/>
      <c r="M50" s="96"/>
      <c r="N50" s="97"/>
      <c r="O50" s="97"/>
      <c r="P50" s="97"/>
      <c r="Q50" s="97"/>
      <c r="R50" s="97"/>
      <c r="S50" s="97"/>
      <c r="T50" s="97"/>
      <c r="U50" s="97"/>
      <c r="V50" s="57"/>
      <c r="W50" s="108"/>
      <c r="X50" s="109"/>
    </row>
    <row r="51" spans="1:24" s="53" customFormat="1" x14ac:dyDescent="0.3">
      <c r="A51" s="51"/>
      <c r="B51" s="51"/>
      <c r="C51" s="51"/>
      <c r="D51" s="51"/>
      <c r="E51" s="51"/>
      <c r="F51" s="51"/>
      <c r="G51" s="51"/>
      <c r="H51" s="51"/>
      <c r="I51" s="51"/>
      <c r="J51" s="101"/>
      <c r="K51" s="101"/>
      <c r="L51" s="101"/>
      <c r="M51" s="101"/>
      <c r="N51" s="52"/>
      <c r="O51" s="52"/>
      <c r="P51" s="52"/>
      <c r="Q51" s="52"/>
      <c r="R51" s="52"/>
      <c r="S51" s="52"/>
      <c r="T51" s="57"/>
      <c r="U51" s="75"/>
      <c r="V51" s="57"/>
      <c r="W51" s="57"/>
    </row>
    <row r="52" spans="1:24" s="53" customFormat="1" x14ac:dyDescent="0.3">
      <c r="A52" s="51"/>
      <c r="B52" s="51"/>
      <c r="C52" s="51"/>
      <c r="D52" s="51"/>
      <c r="E52" s="51"/>
      <c r="F52" s="51"/>
      <c r="G52" s="51"/>
      <c r="H52" s="51"/>
      <c r="I52" s="51"/>
      <c r="J52" s="101"/>
      <c r="K52" s="101"/>
      <c r="L52" s="101"/>
      <c r="M52" s="101"/>
      <c r="N52" s="52"/>
      <c r="O52" s="52"/>
      <c r="P52" s="52"/>
      <c r="Q52" s="52"/>
      <c r="R52" s="52"/>
      <c r="S52" s="52"/>
      <c r="T52" s="48"/>
      <c r="U52" s="52"/>
      <c r="V52" s="57"/>
      <c r="W52" s="110"/>
      <c r="X52" s="111"/>
    </row>
    <row r="53" spans="1:24" s="53" customFormat="1" ht="16.8" x14ac:dyDescent="0.3">
      <c r="A53" s="211" t="s">
        <v>85</v>
      </c>
      <c r="B53" s="211"/>
      <c r="C53" s="211"/>
      <c r="D53" s="51"/>
      <c r="E53" s="51"/>
      <c r="F53" s="51"/>
      <c r="G53" s="51"/>
      <c r="H53" s="51"/>
      <c r="I53" s="51"/>
      <c r="J53" s="101"/>
      <c r="K53" s="101"/>
      <c r="L53" s="101"/>
      <c r="M53" s="101"/>
      <c r="N53" s="201" t="s">
        <v>65</v>
      </c>
      <c r="O53" s="201"/>
      <c r="P53" s="201"/>
      <c r="Q53" s="201"/>
      <c r="R53" s="201"/>
      <c r="S53" s="201"/>
      <c r="T53" s="201"/>
      <c r="U53" s="201"/>
      <c r="V53" s="90"/>
      <c r="W53" s="112"/>
      <c r="X53" s="111"/>
    </row>
    <row r="54" spans="1:24" s="53" customFormat="1" ht="26.4" x14ac:dyDescent="0.3">
      <c r="A54" s="51"/>
      <c r="B54" s="51"/>
      <c r="C54" s="51"/>
      <c r="D54" s="51"/>
      <c r="E54" s="51"/>
      <c r="F54" s="51"/>
      <c r="G54" s="51"/>
      <c r="H54" s="51"/>
      <c r="I54" s="51"/>
      <c r="J54" s="101"/>
      <c r="K54" s="101"/>
      <c r="L54" s="101"/>
      <c r="M54" s="102"/>
      <c r="N54" s="99" t="s">
        <v>4</v>
      </c>
      <c r="O54" s="99" t="s">
        <v>45</v>
      </c>
      <c r="P54" s="99" t="s">
        <v>5</v>
      </c>
      <c r="Q54" s="99" t="s">
        <v>59</v>
      </c>
      <c r="R54" s="99" t="s">
        <v>102</v>
      </c>
      <c r="S54" s="99" t="s">
        <v>103</v>
      </c>
      <c r="T54" s="99" t="s">
        <v>104</v>
      </c>
      <c r="U54" s="103" t="s">
        <v>10</v>
      </c>
      <c r="V54" s="104" t="s">
        <v>66</v>
      </c>
    </row>
    <row r="55" spans="1:24" s="53" customFormat="1" ht="13.2" x14ac:dyDescent="0.3">
      <c r="J55" s="96"/>
      <c r="K55" s="96"/>
      <c r="L55" s="96"/>
      <c r="M55" s="118" t="s">
        <v>233</v>
      </c>
      <c r="N55" s="120">
        <f>+N49</f>
        <v>1185778.68</v>
      </c>
      <c r="O55" s="120">
        <f>+O49</f>
        <v>0</v>
      </c>
      <c r="P55" s="120">
        <f>+P49</f>
        <v>350000</v>
      </c>
      <c r="Q55" s="120">
        <f>+Q49</f>
        <v>400082.25999999978</v>
      </c>
      <c r="R55" s="120">
        <v>0</v>
      </c>
      <c r="S55" s="120">
        <f>+S49</f>
        <v>171205</v>
      </c>
      <c r="T55" s="120">
        <v>0</v>
      </c>
      <c r="U55" s="126">
        <f>SUM(Table6[[#This Row],[HSIP]:[TA OVER 200K]])</f>
        <v>2107065.9399999995</v>
      </c>
      <c r="V55" s="121">
        <f>V47</f>
        <v>6.000000168569386E-2</v>
      </c>
    </row>
    <row r="56" spans="1:24" s="53" customFormat="1" ht="13.2" x14ac:dyDescent="0.3">
      <c r="J56" s="96"/>
      <c r="K56" s="96"/>
      <c r="L56" s="96"/>
      <c r="M56" s="118" t="s">
        <v>234</v>
      </c>
      <c r="N56" s="122">
        <f>SUMIFS(Table_Query_from_MS_Access_Database[[#All],[HSIP]],Table_Query_from_MS_Access_Database[[#All],[Transaction Year]],"2015",Table_Query_from_MS_Access_Database[[#All],[Transaction Type]],"Lapsing")</f>
        <v>0</v>
      </c>
      <c r="O56" s="122">
        <f>SUMIFS(Table_Query_from_MS_Access_Database[[#All],[PL]],Table_Query_from_MS_Access_Database[[#All],[Transaction Year]],"2015",Table_Query_from_MS_Access_Database[[#All],[Transaction Type]],"Lapsing")</f>
        <v>0</v>
      </c>
      <c r="P56" s="122">
        <f>SUMIFS(Table_Query_from_MS_Access_Database[[#All],[SPR]],Table_Query_from_MS_Access_Database[[#All],[Transaction Year]],"2015",Table_Query_from_MS_Access_Database[[#All],[Transaction Type]],"Lapsing")</f>
        <v>0</v>
      </c>
      <c r="Q56" s="122">
        <f>SUMIFS(Table_Query_from_MS_Access_Database[[#All],[STP other]],Table_Query_from_MS_Access_Database[[#All],[Transaction Year]],"2015",Table_Query_from_MS_Access_Database[[#All],[Transaction Type]],"Lapsing")</f>
        <v>0</v>
      </c>
      <c r="R56" s="122">
        <v>0</v>
      </c>
      <c r="S56" s="122">
        <f>SUMIFS(Table_Query_from_MS_Access_Database[[#All],[TA other]],Table_Query_from_MS_Access_Database[[#All],[Transaction Year]],"2015",Table_Query_from_MS_Access_Database[[#All],[Transaction Type]],"Lapsing")</f>
        <v>0</v>
      </c>
      <c r="T56" s="122">
        <v>0</v>
      </c>
      <c r="U56" s="127">
        <f>SUM(Table6[[#This Row],[HSIP]:[TA OVER 200K]])</f>
        <v>0</v>
      </c>
      <c r="V56" s="122">
        <f>SUMIFS(Table_Query_from_MS_Access_Database_16[[#All],[Total]],Table_Query_from_MS_Access_Database_16[[#All],[Transaction Year]],"2015",Table_Query_from_MS_Access_Database_16[[#All],[Transaction Type]],"Lapsing")</f>
        <v>0</v>
      </c>
    </row>
    <row r="57" spans="1:24" s="53" customFormat="1" ht="13.2" x14ac:dyDescent="0.3">
      <c r="J57" s="96"/>
      <c r="K57" s="96"/>
      <c r="L57" s="96"/>
      <c r="M57" s="118" t="s">
        <v>235</v>
      </c>
      <c r="N57" s="123">
        <f>SUBTOTAL(109,N55:N56)</f>
        <v>1185778.68</v>
      </c>
      <c r="O57" s="120">
        <f>SUBTOTAL(109,O55:O56)</f>
        <v>0</v>
      </c>
      <c r="P57" s="120">
        <f>SUBTOTAL(109,P55:P56)</f>
        <v>350000</v>
      </c>
      <c r="Q57" s="120">
        <f>SUBTOTAL(109,Q55:Q56)</f>
        <v>400082.25999999978</v>
      </c>
      <c r="R57" s="120">
        <f>SUBTOTAL(109,R55:R56)</f>
        <v>0</v>
      </c>
      <c r="S57" s="120">
        <f t="shared" ref="S57:V57" si="4">SUBTOTAL(109,S55:S56)</f>
        <v>171205</v>
      </c>
      <c r="T57" s="120">
        <f t="shared" si="4"/>
        <v>0</v>
      </c>
      <c r="U57" s="120">
        <f t="shared" si="4"/>
        <v>2107065.9399999995</v>
      </c>
      <c r="V57" s="120">
        <f t="shared" si="4"/>
        <v>6.000000168569386E-2</v>
      </c>
      <c r="W57" s="57"/>
      <c r="X57" s="131"/>
    </row>
    <row r="58" spans="1:24" s="53" customFormat="1" ht="13.2" x14ac:dyDescent="0.3">
      <c r="J58" s="96"/>
      <c r="K58" s="96"/>
      <c r="L58" s="96"/>
      <c r="M58" s="119" t="s">
        <v>236</v>
      </c>
      <c r="N58" s="124">
        <v>0</v>
      </c>
      <c r="O58" s="124">
        <v>0</v>
      </c>
      <c r="P58" s="124">
        <v>0</v>
      </c>
      <c r="Q58" s="124">
        <v>0</v>
      </c>
      <c r="R58" s="124">
        <f t="shared" ref="R58:T58" si="5">+R49-R57</f>
        <v>711522.30000000075</v>
      </c>
      <c r="S58" s="124">
        <v>0</v>
      </c>
      <c r="T58" s="124">
        <f t="shared" si="5"/>
        <v>402696</v>
      </c>
      <c r="U58" s="120">
        <f>+SUM(Table6[[#This Row],[HSIP]:[TA OVER 200K]])</f>
        <v>1114218.3000000007</v>
      </c>
      <c r="V58" s="125">
        <v>0</v>
      </c>
      <c r="W58" s="110"/>
    </row>
    <row r="59" spans="1:24" s="53" customFormat="1" x14ac:dyDescent="0.3">
      <c r="A59" s="51"/>
      <c r="B59" s="51"/>
      <c r="C59" s="51"/>
      <c r="D59" s="51"/>
      <c r="E59" s="51"/>
      <c r="F59" s="51"/>
      <c r="G59" s="51"/>
      <c r="H59" s="51"/>
      <c r="I59" s="51"/>
      <c r="J59" s="77"/>
      <c r="K59" s="77"/>
      <c r="L59" s="77"/>
      <c r="M59" s="77"/>
      <c r="N59" s="52"/>
      <c r="O59" s="52"/>
      <c r="P59" s="52"/>
      <c r="Q59" s="52"/>
      <c r="R59" s="52"/>
      <c r="S59" s="52"/>
      <c r="T59" s="52"/>
      <c r="U59" s="49"/>
      <c r="V59" s="57"/>
      <c r="W59" s="110"/>
    </row>
    <row r="60" spans="1:24" s="53" customFormat="1" x14ac:dyDescent="0.3">
      <c r="A60" s="32"/>
      <c r="B60" s="32"/>
      <c r="C60" s="32"/>
      <c r="D60" s="32"/>
      <c r="E60" s="32"/>
      <c r="F60" s="32"/>
      <c r="G60" s="32"/>
      <c r="H60" s="32"/>
      <c r="I60" s="32"/>
      <c r="J60" s="76"/>
      <c r="K60" s="76"/>
      <c r="L60" s="76"/>
      <c r="M60" s="76"/>
      <c r="N60" s="34"/>
      <c r="O60" s="34"/>
      <c r="P60" s="34"/>
      <c r="Q60" s="34"/>
      <c r="R60" s="34"/>
      <c r="S60" s="34"/>
      <c r="T60" s="34"/>
      <c r="U60" s="34"/>
      <c r="V60" s="52"/>
      <c r="W60" s="110"/>
    </row>
    <row r="61" spans="1:24" s="51" customFormat="1" x14ac:dyDescent="0.3">
      <c r="A61" s="32"/>
      <c r="B61" s="32"/>
      <c r="C61" s="32"/>
      <c r="D61" s="32"/>
      <c r="E61" s="32"/>
      <c r="F61" s="32"/>
      <c r="G61" s="32"/>
      <c r="H61" s="32"/>
      <c r="I61" s="32"/>
      <c r="J61" s="76"/>
      <c r="K61" s="76"/>
      <c r="L61" s="76"/>
      <c r="M61" s="76"/>
      <c r="N61" s="34"/>
      <c r="O61" s="34"/>
      <c r="P61" s="34"/>
      <c r="Q61" s="34"/>
      <c r="R61" s="34"/>
      <c r="S61" s="34"/>
      <c r="T61" s="34"/>
      <c r="U61" s="34"/>
      <c r="V61" s="52"/>
      <c r="W61" s="50"/>
    </row>
    <row r="62" spans="1:24" s="51" customFormat="1" x14ac:dyDescent="0.3">
      <c r="A62" s="32"/>
      <c r="B62" s="32"/>
      <c r="C62" s="32"/>
      <c r="D62" s="32"/>
      <c r="E62" s="32"/>
      <c r="F62" s="32"/>
      <c r="G62" s="32"/>
      <c r="H62" s="32"/>
      <c r="I62" s="32"/>
      <c r="J62" s="76"/>
      <c r="K62" s="76"/>
      <c r="L62" s="76"/>
      <c r="M62" s="76"/>
      <c r="N62" s="34"/>
      <c r="O62" s="34"/>
      <c r="P62" s="34"/>
      <c r="Q62" s="34"/>
      <c r="R62" s="34"/>
      <c r="S62" s="34"/>
      <c r="T62" s="34"/>
      <c r="U62" s="34"/>
      <c r="V62" s="34"/>
      <c r="W62" s="52"/>
      <c r="X62" s="39"/>
    </row>
    <row r="63" spans="1:24" s="51" customFormat="1" x14ac:dyDescent="0.3">
      <c r="A63" s="32"/>
      <c r="B63" s="32"/>
      <c r="C63" s="32"/>
      <c r="D63" s="32"/>
      <c r="E63" s="32"/>
      <c r="F63" s="32"/>
      <c r="G63" s="32"/>
      <c r="H63" s="32"/>
      <c r="I63" s="32"/>
      <c r="J63" s="76"/>
      <c r="K63" s="76"/>
      <c r="L63" s="76"/>
      <c r="M63" s="76"/>
      <c r="N63" s="34"/>
      <c r="O63" s="34"/>
      <c r="P63" s="34"/>
      <c r="Q63" s="34"/>
      <c r="R63" s="34"/>
      <c r="S63" s="34"/>
      <c r="T63" s="34"/>
      <c r="U63" s="34"/>
      <c r="V63" s="34"/>
      <c r="W63" s="52"/>
      <c r="X63" s="39"/>
    </row>
    <row r="64" spans="1:24" s="53" customFormat="1" x14ac:dyDescent="0.3">
      <c r="A64" s="32"/>
      <c r="B64" s="32"/>
      <c r="C64" s="32"/>
      <c r="D64" s="32"/>
      <c r="E64" s="32"/>
      <c r="F64" s="32"/>
      <c r="G64" s="32"/>
      <c r="H64" s="32"/>
      <c r="I64" s="32"/>
      <c r="J64" s="76"/>
      <c r="K64" s="76"/>
      <c r="L64" s="76"/>
      <c r="M64" s="76"/>
      <c r="N64" s="34"/>
      <c r="O64" s="34"/>
      <c r="P64" s="34"/>
      <c r="Q64" s="34"/>
      <c r="R64" s="34"/>
      <c r="S64" s="34"/>
      <c r="T64" s="34"/>
      <c r="U64" s="34"/>
      <c r="V64" s="34"/>
      <c r="W64" s="57"/>
    </row>
    <row r="65" spans="1:23" s="53" customFormat="1" x14ac:dyDescent="0.3">
      <c r="A65" s="32"/>
      <c r="B65" s="32"/>
      <c r="C65" s="32"/>
      <c r="D65" s="32"/>
      <c r="E65" s="32"/>
      <c r="F65" s="32"/>
      <c r="G65" s="32"/>
      <c r="H65" s="32"/>
      <c r="I65" s="32"/>
      <c r="J65" s="76"/>
      <c r="K65" s="76"/>
      <c r="L65" s="76"/>
      <c r="M65" s="76"/>
      <c r="N65" s="34"/>
      <c r="O65" s="34"/>
      <c r="P65" s="34"/>
      <c r="Q65" s="34"/>
      <c r="R65" s="34"/>
      <c r="S65" s="34"/>
      <c r="T65" s="34"/>
      <c r="U65" s="34"/>
      <c r="V65" s="34"/>
      <c r="W65" s="57"/>
    </row>
    <row r="66" spans="1:23" s="53" customFormat="1" x14ac:dyDescent="0.3">
      <c r="A66" s="32"/>
      <c r="B66" s="32"/>
      <c r="C66" s="32"/>
      <c r="D66" s="32"/>
      <c r="E66" s="32"/>
      <c r="F66" s="32"/>
      <c r="G66" s="32"/>
      <c r="H66" s="32"/>
      <c r="I66" s="32"/>
      <c r="J66" s="76"/>
      <c r="K66" s="76"/>
      <c r="L66" s="76"/>
      <c r="M66" s="76"/>
      <c r="N66" s="34"/>
      <c r="O66" s="34"/>
      <c r="P66" s="34"/>
      <c r="Q66" s="34"/>
      <c r="R66" s="34"/>
      <c r="S66" s="34"/>
      <c r="T66" s="34"/>
      <c r="U66" s="34"/>
      <c r="V66" s="34"/>
      <c r="W66" s="57"/>
    </row>
    <row r="67" spans="1:23" s="51" customFormat="1" x14ac:dyDescent="0.3">
      <c r="A67" s="32"/>
      <c r="B67" s="32"/>
      <c r="C67" s="32"/>
      <c r="D67" s="32"/>
      <c r="E67" s="32"/>
      <c r="F67" s="32"/>
      <c r="G67" s="32"/>
      <c r="H67" s="32"/>
      <c r="I67" s="32"/>
      <c r="J67" s="76"/>
      <c r="K67" s="76"/>
      <c r="L67" s="76"/>
      <c r="M67" s="76"/>
      <c r="N67" s="34"/>
      <c r="O67" s="34"/>
      <c r="P67" s="34"/>
      <c r="Q67" s="34"/>
      <c r="R67" s="34"/>
      <c r="S67" s="34"/>
      <c r="T67" s="34"/>
      <c r="U67" s="34"/>
      <c r="V67" s="34"/>
      <c r="W67" s="52"/>
    </row>
  </sheetData>
  <sheetProtection autoFilter="0"/>
  <mergeCells count="12">
    <mergeCell ref="A45:D45"/>
    <mergeCell ref="N2:U2"/>
    <mergeCell ref="N53:U53"/>
    <mergeCell ref="N1:V1"/>
    <mergeCell ref="A1:F1"/>
    <mergeCell ref="A15:D15"/>
    <mergeCell ref="A10:L10"/>
    <mergeCell ref="A3:D3"/>
    <mergeCell ref="A4:D4"/>
    <mergeCell ref="J15:M15"/>
    <mergeCell ref="A6:B6"/>
    <mergeCell ref="A53:C53"/>
  </mergeCells>
  <pageMargins left="0.5" right="0.25" top="0.75" bottom="0.75" header="0.3" footer="0.3"/>
  <pageSetup paperSize="17" scale="64" fitToHeight="0" orientation="landscape" r:id="rId1"/>
  <headerFooter>
    <oddFooter>&amp;L&amp;8&amp;Z&amp;F&amp;R&amp;P of &amp;N</oddFooter>
  </headerFooter>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50"/>
  <sheetViews>
    <sheetView zoomScale="90" zoomScaleNormal="90" workbookViewId="0">
      <selection sqref="A1:F1"/>
    </sheetView>
  </sheetViews>
  <sheetFormatPr defaultColWidth="19.6640625" defaultRowHeight="14.4" x14ac:dyDescent="0.3"/>
  <cols>
    <col min="1" max="1" width="19.33203125" style="24" customWidth="1"/>
    <col min="2" max="2" width="19.6640625" style="24" customWidth="1"/>
    <col min="3" max="3" width="24" style="24" customWidth="1"/>
    <col min="4" max="4" width="19.44140625" style="24" customWidth="1"/>
    <col min="5" max="5" width="14.6640625" style="24" customWidth="1"/>
    <col min="6" max="6" width="10.44140625" style="24" customWidth="1"/>
    <col min="7" max="7" width="14.21875" style="24" customWidth="1"/>
    <col min="8" max="8" width="12.88671875" style="25" customWidth="1"/>
    <col min="9" max="9" width="6.77734375" style="24" customWidth="1"/>
    <col min="10" max="10" width="11.77734375" style="24" customWidth="1"/>
    <col min="11" max="11" width="14.6640625" style="24" customWidth="1"/>
    <col min="12" max="12" width="17.44140625" style="24" customWidth="1"/>
    <col min="13" max="13" width="12.88671875" style="24" customWidth="1"/>
    <col min="14" max="14" width="16.44140625" style="24" customWidth="1"/>
    <col min="15" max="15" width="9.33203125" style="24" customWidth="1"/>
    <col min="16" max="16" width="7.21875" style="24" customWidth="1"/>
    <col min="17" max="17" width="12.109375" style="24" customWidth="1"/>
    <col min="18" max="18" width="59.33203125" style="24" customWidth="1"/>
    <col min="19" max="20" width="9.5546875" style="24" customWidth="1"/>
    <col min="21" max="21" width="11.88671875" style="24" customWidth="1"/>
    <col min="22" max="22" width="64.33203125" style="24" customWidth="1"/>
    <col min="23" max="23" width="14" style="24" customWidth="1"/>
    <col min="24" max="24" width="16.88671875" style="24" customWidth="1"/>
    <col min="25" max="25" width="12.109375" style="24" customWidth="1"/>
    <col min="26" max="26" width="16" style="24" customWidth="1"/>
    <col min="27" max="16384" width="19.6640625" style="9"/>
  </cols>
  <sheetData>
    <row r="1" spans="1:26" ht="18.600000000000001" x14ac:dyDescent="0.35">
      <c r="A1" s="212" t="str">
        <f>+'Federal Funds Transactions'!A1:F1</f>
        <v>Pima Association of Goverments</v>
      </c>
      <c r="B1" s="212"/>
      <c r="C1" s="212"/>
      <c r="D1" s="212"/>
      <c r="E1" s="212"/>
      <c r="F1" s="212"/>
    </row>
    <row r="2" spans="1:26" x14ac:dyDescent="0.35">
      <c r="A2" s="26"/>
      <c r="B2" s="26"/>
      <c r="C2" s="26"/>
      <c r="D2" s="26"/>
      <c r="E2" s="26"/>
      <c r="F2" s="26"/>
    </row>
    <row r="3" spans="1:26" x14ac:dyDescent="0.35">
      <c r="A3" s="213" t="s">
        <v>91</v>
      </c>
      <c r="B3" s="213"/>
      <c r="C3" s="213"/>
      <c r="D3" s="213"/>
      <c r="E3" s="213"/>
      <c r="F3" s="213"/>
    </row>
    <row r="4" spans="1:26" x14ac:dyDescent="0.35">
      <c r="A4" s="27"/>
      <c r="B4" s="27"/>
      <c r="C4" s="27"/>
      <c r="D4" s="27"/>
      <c r="E4" s="27"/>
      <c r="F4" s="27"/>
    </row>
    <row r="5" spans="1:26" x14ac:dyDescent="0.35">
      <c r="A5" s="24" t="s">
        <v>90</v>
      </c>
      <c r="B5" s="66">
        <f>+'Federal Funds Transactions'!C6</f>
        <v>43008</v>
      </c>
      <c r="C5" s="26"/>
      <c r="D5" s="26"/>
      <c r="E5" s="26"/>
      <c r="F5" s="26"/>
    </row>
    <row r="6" spans="1:26" x14ac:dyDescent="0.35">
      <c r="A6" s="26"/>
      <c r="B6" s="26"/>
      <c r="C6" s="26"/>
      <c r="D6" s="26"/>
      <c r="E6" s="26"/>
      <c r="F6" s="26"/>
    </row>
    <row r="7" spans="1:26" ht="15" customHeight="1" x14ac:dyDescent="0.35">
      <c r="A7" s="216" t="str">
        <f>+'Federal Funds Transactions'!A10:L10</f>
        <v>IMPORTANT! Please review the information in the Notes tab for further explanation of the data in this document.</v>
      </c>
      <c r="B7" s="216"/>
      <c r="C7" s="216"/>
      <c r="D7" s="216"/>
      <c r="E7" s="216"/>
      <c r="F7" s="216"/>
      <c r="G7" s="216"/>
      <c r="H7" s="216"/>
    </row>
    <row r="9" spans="1:26" ht="15.75" customHeight="1" x14ac:dyDescent="0.3">
      <c r="A9" s="214" t="s">
        <v>87</v>
      </c>
      <c r="B9" s="214"/>
      <c r="C9" s="214"/>
      <c r="D9" s="214"/>
      <c r="E9" s="214"/>
      <c r="F9" s="214"/>
      <c r="G9" s="214"/>
      <c r="M9" s="28"/>
      <c r="N9" s="28"/>
      <c r="O9" s="28"/>
      <c r="P9" s="28"/>
      <c r="Q9" s="28"/>
      <c r="R9" s="28"/>
      <c r="S9" s="28"/>
      <c r="T9" s="28"/>
      <c r="U9" s="28"/>
      <c r="V9" s="28"/>
      <c r="W9" s="28"/>
      <c r="X9" s="28"/>
    </row>
    <row r="10" spans="1:26" ht="15.6" x14ac:dyDescent="0.3">
      <c r="A10" s="29"/>
      <c r="B10" s="29"/>
      <c r="C10" s="29"/>
      <c r="D10" s="29"/>
      <c r="E10" s="30"/>
      <c r="F10" s="30"/>
      <c r="G10" s="30"/>
      <c r="H10" s="31"/>
      <c r="I10" s="30"/>
      <c r="J10" s="30"/>
      <c r="K10" s="30"/>
      <c r="L10" s="30"/>
      <c r="M10" s="28"/>
      <c r="N10" s="28"/>
      <c r="O10" s="28"/>
      <c r="P10" s="28"/>
      <c r="Q10" s="28"/>
      <c r="R10" s="28"/>
      <c r="S10" s="28"/>
      <c r="T10" s="28"/>
      <c r="U10" s="28"/>
      <c r="V10" s="28"/>
      <c r="W10" s="28"/>
      <c r="X10" s="28"/>
      <c r="Y10" s="30"/>
      <c r="Z10" s="30"/>
    </row>
    <row r="11" spans="1:26" x14ac:dyDescent="0.3">
      <c r="A11" s="72" t="s">
        <v>49</v>
      </c>
      <c r="B11" s="73" t="s">
        <v>50</v>
      </c>
      <c r="C11" s="73" t="s">
        <v>13</v>
      </c>
      <c r="D11" s="73" t="s">
        <v>51</v>
      </c>
      <c r="E11" s="73" t="s">
        <v>10</v>
      </c>
      <c r="F11" s="73" t="s">
        <v>43</v>
      </c>
      <c r="G11" s="73" t="s">
        <v>44</v>
      </c>
      <c r="H11" s="73" t="s">
        <v>4</v>
      </c>
      <c r="I11" s="73" t="s">
        <v>45</v>
      </c>
      <c r="J11" s="73" t="s">
        <v>5</v>
      </c>
      <c r="K11" s="73" t="s">
        <v>6</v>
      </c>
      <c r="L11" s="73" t="s">
        <v>46</v>
      </c>
      <c r="M11" s="73" t="s">
        <v>47</v>
      </c>
      <c r="N11" s="73" t="s">
        <v>48</v>
      </c>
      <c r="O11" s="73" t="s">
        <v>97</v>
      </c>
      <c r="P11" s="73" t="s">
        <v>98</v>
      </c>
      <c r="Q11" s="73" t="s">
        <v>99</v>
      </c>
      <c r="R11" s="74" t="s">
        <v>100</v>
      </c>
      <c r="S11" s="30"/>
      <c r="T11" s="30"/>
      <c r="U11" s="30"/>
      <c r="V11" s="30"/>
      <c r="W11" s="9"/>
      <c r="X11" s="9"/>
      <c r="Y11" s="9"/>
      <c r="Z11" s="9"/>
    </row>
    <row r="12" spans="1:26" x14ac:dyDescent="0.3">
      <c r="A12" s="60" t="s">
        <v>108</v>
      </c>
      <c r="B12" s="58" t="s">
        <v>106</v>
      </c>
      <c r="C12" s="58" t="s">
        <v>109</v>
      </c>
      <c r="D12" s="58" t="s">
        <v>108</v>
      </c>
      <c r="E12" s="58">
        <v>4282925</v>
      </c>
      <c r="F12" s="58"/>
      <c r="G12" s="58"/>
      <c r="H12" s="58"/>
      <c r="I12" s="58"/>
      <c r="J12" s="58"/>
      <c r="K12" s="58"/>
      <c r="L12" s="58">
        <v>4282925</v>
      </c>
      <c r="M12" s="58"/>
      <c r="N12" s="58"/>
      <c r="O12" s="59" t="s">
        <v>105</v>
      </c>
      <c r="P12" s="59" t="s">
        <v>110</v>
      </c>
      <c r="Q12" s="59"/>
      <c r="R12" s="62" t="s">
        <v>111</v>
      </c>
      <c r="S12" s="71"/>
      <c r="T12" s="71"/>
      <c r="U12" s="71"/>
      <c r="V12" s="71"/>
      <c r="W12" s="9"/>
      <c r="X12" s="9"/>
      <c r="Y12" s="9"/>
      <c r="Z12" s="9"/>
    </row>
    <row r="13" spans="1:26" x14ac:dyDescent="0.3">
      <c r="A13" s="61" t="s">
        <v>108</v>
      </c>
      <c r="B13" s="59" t="s">
        <v>106</v>
      </c>
      <c r="C13" s="59" t="s">
        <v>112</v>
      </c>
      <c r="D13" s="59" t="s">
        <v>108</v>
      </c>
      <c r="E13" s="59">
        <v>496655</v>
      </c>
      <c r="F13" s="59"/>
      <c r="G13" s="59"/>
      <c r="H13" s="59"/>
      <c r="I13" s="59"/>
      <c r="J13" s="59"/>
      <c r="K13" s="59"/>
      <c r="L13" s="59">
        <v>496655</v>
      </c>
      <c r="M13" s="59"/>
      <c r="N13" s="59"/>
      <c r="O13" s="59" t="s">
        <v>105</v>
      </c>
      <c r="P13" s="59" t="s">
        <v>110</v>
      </c>
      <c r="Q13" s="59"/>
      <c r="R13" s="62" t="s">
        <v>113</v>
      </c>
      <c r="S13" s="71"/>
      <c r="T13" s="71"/>
      <c r="U13" s="71"/>
      <c r="V13" s="71"/>
      <c r="W13" s="9"/>
      <c r="X13" s="9"/>
      <c r="Y13" s="9"/>
      <c r="Z13" s="9"/>
    </row>
    <row r="14" spans="1:26" x14ac:dyDescent="0.3">
      <c r="A14" s="61" t="s">
        <v>108</v>
      </c>
      <c r="B14" s="59" t="s">
        <v>106</v>
      </c>
      <c r="C14" s="59" t="s">
        <v>114</v>
      </c>
      <c r="D14" s="59" t="s">
        <v>115</v>
      </c>
      <c r="E14" s="59">
        <v>6475197</v>
      </c>
      <c r="F14" s="59"/>
      <c r="G14" s="59"/>
      <c r="H14" s="59"/>
      <c r="I14" s="59"/>
      <c r="J14" s="59"/>
      <c r="K14" s="59"/>
      <c r="L14" s="59">
        <v>6475197</v>
      </c>
      <c r="M14" s="59"/>
      <c r="N14" s="59"/>
      <c r="O14" s="59" t="s">
        <v>105</v>
      </c>
      <c r="P14" s="59" t="s">
        <v>110</v>
      </c>
      <c r="Q14" s="59" t="s">
        <v>116</v>
      </c>
      <c r="R14" s="62" t="s">
        <v>117</v>
      </c>
      <c r="S14" s="71"/>
      <c r="T14" s="71"/>
      <c r="U14" s="71"/>
      <c r="V14" s="71"/>
      <c r="W14" s="9"/>
      <c r="X14" s="9"/>
      <c r="Y14" s="9"/>
      <c r="Z14" s="9"/>
    </row>
    <row r="15" spans="1:26" x14ac:dyDescent="0.3">
      <c r="A15" s="61" t="s">
        <v>115</v>
      </c>
      <c r="B15" s="59" t="s">
        <v>93</v>
      </c>
      <c r="C15" s="59" t="s">
        <v>118</v>
      </c>
      <c r="D15" s="59" t="s">
        <v>115</v>
      </c>
      <c r="E15" s="59">
        <v>-2739783.7</v>
      </c>
      <c r="F15" s="59"/>
      <c r="G15" s="59"/>
      <c r="H15" s="59"/>
      <c r="I15" s="59"/>
      <c r="J15" s="59"/>
      <c r="K15" s="59"/>
      <c r="L15" s="59">
        <v>-2739783.7</v>
      </c>
      <c r="M15" s="59"/>
      <c r="N15" s="59"/>
      <c r="O15" s="59" t="s">
        <v>110</v>
      </c>
      <c r="P15" s="59" t="s">
        <v>105</v>
      </c>
      <c r="Q15" s="59"/>
      <c r="R15" s="62" t="s">
        <v>119</v>
      </c>
      <c r="S15" s="71"/>
      <c r="T15" s="71"/>
      <c r="U15" s="71"/>
      <c r="V15" s="71"/>
      <c r="W15" s="9"/>
      <c r="X15" s="9"/>
      <c r="Y15" s="9"/>
      <c r="Z15" s="9"/>
    </row>
    <row r="16" spans="1:26" x14ac:dyDescent="0.3">
      <c r="A16" s="61" t="s">
        <v>115</v>
      </c>
      <c r="B16" s="59" t="s">
        <v>93</v>
      </c>
      <c r="C16" s="59" t="s">
        <v>118</v>
      </c>
      <c r="D16" s="59" t="s">
        <v>115</v>
      </c>
      <c r="E16" s="59">
        <v>-9957472</v>
      </c>
      <c r="F16" s="59"/>
      <c r="G16" s="59"/>
      <c r="H16" s="59"/>
      <c r="I16" s="59"/>
      <c r="J16" s="59"/>
      <c r="K16" s="59"/>
      <c r="L16" s="59">
        <v>-9957472</v>
      </c>
      <c r="M16" s="59"/>
      <c r="N16" s="59"/>
      <c r="O16" s="59" t="s">
        <v>110</v>
      </c>
      <c r="P16" s="59" t="s">
        <v>105</v>
      </c>
      <c r="Q16" s="59"/>
      <c r="R16" s="62" t="s">
        <v>120</v>
      </c>
      <c r="S16" s="71"/>
      <c r="T16" s="71"/>
      <c r="U16" s="71"/>
      <c r="V16" s="71"/>
      <c r="W16" s="9"/>
      <c r="X16" s="9"/>
      <c r="Y16" s="9"/>
      <c r="Z16" s="9"/>
    </row>
    <row r="17" spans="1:26" x14ac:dyDescent="0.3">
      <c r="A17" s="63" t="s">
        <v>115</v>
      </c>
      <c r="B17" s="64" t="s">
        <v>93</v>
      </c>
      <c r="C17" s="64" t="s">
        <v>112</v>
      </c>
      <c r="D17" s="64" t="s">
        <v>108</v>
      </c>
      <c r="E17" s="64">
        <v>-496655</v>
      </c>
      <c r="F17" s="64"/>
      <c r="G17" s="64"/>
      <c r="H17" s="64"/>
      <c r="I17" s="64"/>
      <c r="J17" s="64"/>
      <c r="K17" s="64"/>
      <c r="L17" s="64">
        <v>-496655</v>
      </c>
      <c r="M17" s="64"/>
      <c r="N17" s="64"/>
      <c r="O17" s="64" t="s">
        <v>110</v>
      </c>
      <c r="P17" s="64" t="s">
        <v>105</v>
      </c>
      <c r="Q17" s="64"/>
      <c r="R17" s="65" t="s">
        <v>121</v>
      </c>
      <c r="S17" s="71"/>
      <c r="T17" s="71"/>
      <c r="U17" s="71"/>
      <c r="V17" s="71"/>
      <c r="W17" s="9"/>
      <c r="X17" s="9"/>
      <c r="Y17" s="9"/>
      <c r="Z17" s="9"/>
    </row>
    <row r="18" spans="1:26" x14ac:dyDescent="0.3">
      <c r="A18" s="115" t="s">
        <v>130</v>
      </c>
      <c r="B18" s="116" t="s">
        <v>131</v>
      </c>
      <c r="C18" s="116" t="s">
        <v>132</v>
      </c>
      <c r="D18" s="116" t="s">
        <v>133</v>
      </c>
      <c r="E18" s="116">
        <v>-7432121</v>
      </c>
      <c r="F18" s="116"/>
      <c r="G18" s="116"/>
      <c r="H18" s="116">
        <v>-687045</v>
      </c>
      <c r="I18" s="116"/>
      <c r="J18" s="116">
        <v>-87500</v>
      </c>
      <c r="K18" s="116">
        <v>-6383937</v>
      </c>
      <c r="L18" s="116"/>
      <c r="M18" s="116">
        <v>-273639</v>
      </c>
      <c r="N18" s="116"/>
      <c r="O18" s="116" t="s">
        <v>110</v>
      </c>
      <c r="P18" s="116" t="s">
        <v>105</v>
      </c>
      <c r="Q18" s="116"/>
      <c r="R18" s="117" t="s">
        <v>134</v>
      </c>
      <c r="S18" s="71"/>
      <c r="T18" s="71"/>
      <c r="U18" s="71"/>
      <c r="V18" s="71"/>
    </row>
    <row r="19" spans="1:26" x14ac:dyDescent="0.3">
      <c r="A19" s="137" t="s">
        <v>136</v>
      </c>
      <c r="B19" s="138" t="s">
        <v>140</v>
      </c>
      <c r="C19" s="138" t="s">
        <v>141</v>
      </c>
      <c r="D19" s="138" t="s">
        <v>142</v>
      </c>
      <c r="E19" s="138">
        <v>-846000</v>
      </c>
      <c r="F19" s="138"/>
      <c r="G19" s="138"/>
      <c r="H19" s="138">
        <v>-846000</v>
      </c>
      <c r="I19" s="138"/>
      <c r="J19" s="138"/>
      <c r="K19" s="138"/>
      <c r="L19" s="138"/>
      <c r="M19" s="138"/>
      <c r="N19" s="138"/>
      <c r="O19" s="138" t="s">
        <v>110</v>
      </c>
      <c r="P19" s="138" t="s">
        <v>105</v>
      </c>
      <c r="Q19" s="138"/>
      <c r="R19" s="139" t="s">
        <v>143</v>
      </c>
      <c r="S19" s="71"/>
      <c r="T19" s="71"/>
      <c r="U19" s="71"/>
      <c r="V19" s="71"/>
    </row>
    <row r="20" spans="1:26" x14ac:dyDescent="0.3">
      <c r="A20" s="140" t="s">
        <v>146</v>
      </c>
      <c r="B20" s="141" t="s">
        <v>140</v>
      </c>
      <c r="C20" s="141" t="s">
        <v>148</v>
      </c>
      <c r="D20" s="141" t="s">
        <v>142</v>
      </c>
      <c r="E20" s="141">
        <v>-2850000</v>
      </c>
      <c r="F20" s="141"/>
      <c r="G20" s="141"/>
      <c r="H20" s="141"/>
      <c r="I20" s="141"/>
      <c r="J20" s="141"/>
      <c r="K20" s="141">
        <v>-2850000</v>
      </c>
      <c r="L20" s="141"/>
      <c r="M20" s="141"/>
      <c r="N20" s="141"/>
      <c r="O20" s="141" t="s">
        <v>110</v>
      </c>
      <c r="P20" s="141" t="s">
        <v>105</v>
      </c>
      <c r="Q20" s="141"/>
      <c r="R20" s="142" t="s">
        <v>147</v>
      </c>
      <c r="S20" s="71"/>
      <c r="T20" s="71"/>
      <c r="U20" s="71"/>
      <c r="V20" s="71"/>
    </row>
    <row r="21" spans="1:26" x14ac:dyDescent="0.3">
      <c r="A21" s="153" t="s">
        <v>142</v>
      </c>
      <c r="B21" s="155" t="s">
        <v>140</v>
      </c>
      <c r="C21" s="155" t="s">
        <v>244</v>
      </c>
      <c r="D21" s="155" t="s">
        <v>245</v>
      </c>
      <c r="E21" s="155">
        <v>-503755</v>
      </c>
      <c r="F21" s="155"/>
      <c r="G21" s="155"/>
      <c r="H21" s="155"/>
      <c r="I21" s="155"/>
      <c r="J21" s="155"/>
      <c r="K21" s="155">
        <v>-503755</v>
      </c>
      <c r="L21" s="155"/>
      <c r="M21" s="155"/>
      <c r="N21" s="155"/>
      <c r="O21" s="155" t="s">
        <v>110</v>
      </c>
      <c r="P21" s="155" t="s">
        <v>105</v>
      </c>
      <c r="Q21" s="155"/>
      <c r="R21" s="157" t="s">
        <v>147</v>
      </c>
      <c r="S21" s="71"/>
      <c r="T21" s="71"/>
      <c r="U21" s="71"/>
      <c r="V21" s="71"/>
    </row>
    <row r="22" spans="1:26" x14ac:dyDescent="0.3">
      <c r="A22" s="154" t="s">
        <v>142</v>
      </c>
      <c r="B22" s="156" t="s">
        <v>144</v>
      </c>
      <c r="C22" s="156" t="s">
        <v>141</v>
      </c>
      <c r="D22" s="156" t="s">
        <v>142</v>
      </c>
      <c r="E22" s="156">
        <v>846000</v>
      </c>
      <c r="F22" s="156"/>
      <c r="G22" s="156"/>
      <c r="H22" s="156">
        <v>846000</v>
      </c>
      <c r="I22" s="156"/>
      <c r="J22" s="156"/>
      <c r="K22" s="156"/>
      <c r="L22" s="156"/>
      <c r="M22" s="156"/>
      <c r="N22" s="156"/>
      <c r="O22" s="156" t="s">
        <v>105</v>
      </c>
      <c r="P22" s="156" t="s">
        <v>110</v>
      </c>
      <c r="Q22" s="156"/>
      <c r="R22" s="158" t="s">
        <v>143</v>
      </c>
      <c r="S22" s="71"/>
      <c r="T22" s="71"/>
      <c r="U22" s="71"/>
      <c r="V22" s="71"/>
    </row>
    <row r="23" spans="1:26" x14ac:dyDescent="0.3">
      <c r="A23" s="191" t="s">
        <v>142</v>
      </c>
      <c r="B23" s="193" t="s">
        <v>144</v>
      </c>
      <c r="C23" s="193" t="s">
        <v>148</v>
      </c>
      <c r="D23" s="193" t="s">
        <v>142</v>
      </c>
      <c r="E23" s="193">
        <v>2850000</v>
      </c>
      <c r="F23" s="193"/>
      <c r="G23" s="193"/>
      <c r="H23" s="193"/>
      <c r="I23" s="193"/>
      <c r="J23" s="193"/>
      <c r="K23" s="193">
        <v>2850000</v>
      </c>
      <c r="L23" s="193"/>
      <c r="M23" s="193"/>
      <c r="N23" s="193"/>
      <c r="O23" s="193" t="s">
        <v>105</v>
      </c>
      <c r="P23" s="193" t="s">
        <v>110</v>
      </c>
      <c r="Q23" s="193"/>
      <c r="R23" s="195" t="s">
        <v>147</v>
      </c>
      <c r="S23" s="71"/>
      <c r="T23" s="71"/>
      <c r="U23" s="71"/>
      <c r="V23" s="71"/>
    </row>
    <row r="24" spans="1:26" x14ac:dyDescent="0.3">
      <c r="A24" s="192" t="s">
        <v>245</v>
      </c>
      <c r="B24" s="194" t="s">
        <v>144</v>
      </c>
      <c r="C24" s="194" t="s">
        <v>244</v>
      </c>
      <c r="D24" s="194" t="s">
        <v>245</v>
      </c>
      <c r="E24" s="194">
        <v>503755</v>
      </c>
      <c r="F24" s="194"/>
      <c r="G24" s="194"/>
      <c r="H24" s="194"/>
      <c r="I24" s="194"/>
      <c r="J24" s="194"/>
      <c r="K24" s="194">
        <v>503755</v>
      </c>
      <c r="L24" s="194"/>
      <c r="M24" s="194"/>
      <c r="N24" s="194"/>
      <c r="O24" s="194" t="s">
        <v>105</v>
      </c>
      <c r="P24" s="194" t="s">
        <v>110</v>
      </c>
      <c r="Q24" s="194"/>
      <c r="R24" s="196" t="s">
        <v>147</v>
      </c>
      <c r="S24" s="71"/>
      <c r="T24" s="71"/>
      <c r="U24" s="71"/>
      <c r="V24" s="71"/>
    </row>
    <row r="25" spans="1:26" ht="15.6" x14ac:dyDescent="0.3">
      <c r="A25" s="215" t="s">
        <v>88</v>
      </c>
      <c r="B25" s="215"/>
      <c r="C25" s="215"/>
      <c r="D25" s="215"/>
      <c r="E25" s="215"/>
      <c r="F25" s="215"/>
      <c r="G25" s="215"/>
      <c r="S25" s="71"/>
      <c r="T25" s="71"/>
      <c r="U25" s="71"/>
      <c r="V25" s="71"/>
    </row>
    <row r="27" spans="1:26" x14ac:dyDescent="0.3">
      <c r="A27" s="71" t="s">
        <v>49</v>
      </c>
      <c r="B27" s="71" t="s">
        <v>50</v>
      </c>
      <c r="C27" s="71" t="s">
        <v>13</v>
      </c>
      <c r="D27" s="71" t="s">
        <v>51</v>
      </c>
      <c r="E27" s="71" t="s">
        <v>10</v>
      </c>
      <c r="F27" s="71" t="s">
        <v>43</v>
      </c>
      <c r="G27" s="71" t="s">
        <v>44</v>
      </c>
      <c r="H27" s="71" t="s">
        <v>4</v>
      </c>
      <c r="I27" s="71" t="s">
        <v>45</v>
      </c>
      <c r="J27" s="71" t="s">
        <v>5</v>
      </c>
      <c r="K27" s="71" t="s">
        <v>6</v>
      </c>
      <c r="L27" s="71" t="s">
        <v>46</v>
      </c>
      <c r="M27" s="71" t="s">
        <v>47</v>
      </c>
      <c r="N27" s="71" t="s">
        <v>48</v>
      </c>
      <c r="O27" s="71" t="s">
        <v>97</v>
      </c>
      <c r="P27" s="71" t="s">
        <v>98</v>
      </c>
      <c r="Q27" s="71" t="s">
        <v>99</v>
      </c>
      <c r="R27" s="71" t="s">
        <v>100</v>
      </c>
    </row>
    <row r="28" spans="1:26" x14ac:dyDescent="0.3">
      <c r="A28" s="30" t="s">
        <v>108</v>
      </c>
      <c r="B28" s="30" t="s">
        <v>106</v>
      </c>
      <c r="C28" s="30" t="s">
        <v>109</v>
      </c>
      <c r="D28" s="30" t="s">
        <v>108</v>
      </c>
      <c r="E28" s="30">
        <v>1131081</v>
      </c>
      <c r="F28" s="30"/>
      <c r="G28" s="30"/>
      <c r="H28" s="30"/>
      <c r="I28" s="30"/>
      <c r="J28" s="30"/>
      <c r="K28" s="30"/>
      <c r="L28" s="30">
        <v>1131081</v>
      </c>
      <c r="M28" s="30"/>
      <c r="N28" s="30"/>
      <c r="O28" s="71" t="s">
        <v>105</v>
      </c>
      <c r="P28" s="71" t="s">
        <v>110</v>
      </c>
      <c r="Q28" s="71"/>
      <c r="R28" s="71" t="s">
        <v>111</v>
      </c>
    </row>
    <row r="29" spans="1:26" x14ac:dyDescent="0.3">
      <c r="A29" s="71" t="s">
        <v>108</v>
      </c>
      <c r="B29" s="71" t="s">
        <v>106</v>
      </c>
      <c r="C29" s="71" t="s">
        <v>114</v>
      </c>
      <c r="D29" s="71" t="s">
        <v>115</v>
      </c>
      <c r="E29" s="71">
        <v>10123696</v>
      </c>
      <c r="F29" s="71"/>
      <c r="G29" s="71"/>
      <c r="H29" s="71"/>
      <c r="I29" s="71"/>
      <c r="J29" s="71"/>
      <c r="K29" s="71"/>
      <c r="L29" s="71">
        <v>10123696</v>
      </c>
      <c r="M29" s="71"/>
      <c r="N29" s="71"/>
      <c r="O29" s="71" t="s">
        <v>105</v>
      </c>
      <c r="P29" s="71" t="s">
        <v>110</v>
      </c>
      <c r="Q29" s="71" t="s">
        <v>116</v>
      </c>
      <c r="R29" s="71" t="s">
        <v>117</v>
      </c>
    </row>
    <row r="30" spans="1:26" x14ac:dyDescent="0.3">
      <c r="A30" s="71" t="s">
        <v>115</v>
      </c>
      <c r="B30" s="71" t="s">
        <v>93</v>
      </c>
      <c r="C30" s="71" t="s">
        <v>118</v>
      </c>
      <c r="D30" s="71" t="s">
        <v>115</v>
      </c>
      <c r="E30" s="71">
        <v>-2739783.7</v>
      </c>
      <c r="F30" s="71"/>
      <c r="G30" s="71"/>
      <c r="H30" s="71"/>
      <c r="I30" s="71"/>
      <c r="J30" s="71"/>
      <c r="K30" s="71"/>
      <c r="L30" s="71">
        <v>-2739783.7</v>
      </c>
      <c r="M30" s="71"/>
      <c r="N30" s="71"/>
      <c r="O30" s="71" t="s">
        <v>110</v>
      </c>
      <c r="P30" s="71" t="s">
        <v>105</v>
      </c>
      <c r="Q30" s="71"/>
      <c r="R30" s="71" t="s">
        <v>119</v>
      </c>
    </row>
    <row r="31" spans="1:26" x14ac:dyDescent="0.3">
      <c r="A31" s="71" t="s">
        <v>115</v>
      </c>
      <c r="B31" s="71" t="s">
        <v>93</v>
      </c>
      <c r="C31" s="71" t="s">
        <v>118</v>
      </c>
      <c r="D31" s="71" t="s">
        <v>115</v>
      </c>
      <c r="E31" s="71">
        <v>-9957472</v>
      </c>
      <c r="F31" s="71"/>
      <c r="G31" s="71"/>
      <c r="H31" s="71"/>
      <c r="I31" s="71"/>
      <c r="J31" s="71"/>
      <c r="K31" s="71"/>
      <c r="L31" s="71">
        <v>-9957472</v>
      </c>
      <c r="M31" s="71"/>
      <c r="N31" s="71"/>
      <c r="O31" s="71" t="s">
        <v>110</v>
      </c>
      <c r="P31" s="71" t="s">
        <v>105</v>
      </c>
      <c r="Q31" s="71"/>
      <c r="R31" s="71" t="s">
        <v>120</v>
      </c>
      <c r="S31" s="9"/>
      <c r="T31" s="9"/>
      <c r="U31" s="9"/>
      <c r="V31" s="9"/>
      <c r="W31" s="9"/>
      <c r="X31" s="9"/>
      <c r="Y31" s="9"/>
      <c r="Z31" s="9"/>
    </row>
    <row r="32" spans="1:26" x14ac:dyDescent="0.3">
      <c r="A32" s="24" t="s">
        <v>130</v>
      </c>
      <c r="B32" s="24" t="s">
        <v>106</v>
      </c>
      <c r="C32" s="24" t="s">
        <v>135</v>
      </c>
      <c r="D32" s="24" t="s">
        <v>136</v>
      </c>
      <c r="E32" s="24">
        <v>0.02</v>
      </c>
      <c r="H32" s="24"/>
      <c r="O32" s="24" t="s">
        <v>105</v>
      </c>
      <c r="P32" s="24" t="s">
        <v>110</v>
      </c>
      <c r="R32" s="24" t="s">
        <v>137</v>
      </c>
      <c r="S32" s="9"/>
      <c r="T32" s="9"/>
      <c r="U32" s="9"/>
      <c r="V32" s="9"/>
      <c r="W32" s="9"/>
      <c r="X32" s="9"/>
      <c r="Y32" s="9"/>
      <c r="Z32" s="9"/>
    </row>
    <row r="33" spans="1:26" x14ac:dyDescent="0.3">
      <c r="A33" s="24" t="s">
        <v>136</v>
      </c>
      <c r="B33" s="24" t="s">
        <v>140</v>
      </c>
      <c r="C33" s="24" t="s">
        <v>141</v>
      </c>
      <c r="D33" s="24" t="s">
        <v>142</v>
      </c>
      <c r="E33" s="24">
        <v>-846000</v>
      </c>
      <c r="H33" s="24">
        <v>-846000</v>
      </c>
      <c r="O33" s="24" t="s">
        <v>110</v>
      </c>
      <c r="P33" s="24" t="s">
        <v>105</v>
      </c>
      <c r="R33" s="24" t="s">
        <v>143</v>
      </c>
      <c r="S33" s="9"/>
      <c r="T33" s="9"/>
      <c r="U33" s="9"/>
      <c r="V33" s="9"/>
      <c r="W33" s="9"/>
      <c r="X33" s="9"/>
      <c r="Y33" s="9"/>
      <c r="Z33" s="9"/>
    </row>
    <row r="34" spans="1:26" x14ac:dyDescent="0.3">
      <c r="A34" s="24" t="s">
        <v>136</v>
      </c>
      <c r="B34" s="24" t="s">
        <v>93</v>
      </c>
      <c r="C34" s="24" t="s">
        <v>135</v>
      </c>
      <c r="D34" s="24" t="s">
        <v>136</v>
      </c>
      <c r="E34" s="24">
        <v>-0.02</v>
      </c>
      <c r="H34" s="24"/>
      <c r="O34" s="24" t="s">
        <v>110</v>
      </c>
      <c r="P34" s="24" t="s">
        <v>105</v>
      </c>
      <c r="R34" s="24" t="s">
        <v>138</v>
      </c>
      <c r="S34" s="9"/>
      <c r="T34" s="9"/>
      <c r="U34" s="9"/>
      <c r="V34" s="9"/>
      <c r="W34" s="9"/>
      <c r="X34" s="9"/>
      <c r="Y34" s="9"/>
      <c r="Z34" s="9"/>
    </row>
    <row r="35" spans="1:26" x14ac:dyDescent="0.3">
      <c r="A35" s="24" t="s">
        <v>146</v>
      </c>
      <c r="B35" s="24" t="s">
        <v>140</v>
      </c>
      <c r="C35" s="24" t="s">
        <v>148</v>
      </c>
      <c r="D35" s="24" t="s">
        <v>142</v>
      </c>
      <c r="E35" s="24">
        <v>-2850000</v>
      </c>
      <c r="H35" s="24"/>
      <c r="K35" s="24">
        <v>-2850000</v>
      </c>
      <c r="O35" s="24" t="s">
        <v>110</v>
      </c>
      <c r="P35" s="24" t="s">
        <v>105</v>
      </c>
      <c r="R35" s="24" t="s">
        <v>147</v>
      </c>
      <c r="S35" s="9"/>
      <c r="T35" s="9"/>
      <c r="U35" s="9"/>
      <c r="V35" s="9"/>
      <c r="W35" s="9"/>
      <c r="X35" s="9"/>
      <c r="Y35" s="9"/>
      <c r="Z35" s="9"/>
    </row>
    <row r="36" spans="1:26" x14ac:dyDescent="0.3">
      <c r="A36" s="152" t="s">
        <v>142</v>
      </c>
      <c r="B36" s="152" t="s">
        <v>140</v>
      </c>
      <c r="C36" s="152" t="s">
        <v>244</v>
      </c>
      <c r="D36" s="152" t="s">
        <v>245</v>
      </c>
      <c r="E36" s="152">
        <v>-503755</v>
      </c>
      <c r="F36" s="152"/>
      <c r="G36" s="152"/>
      <c r="H36" s="152"/>
      <c r="I36" s="152"/>
      <c r="J36" s="152"/>
      <c r="K36" s="152">
        <v>-503755</v>
      </c>
      <c r="L36" s="152"/>
      <c r="M36" s="152"/>
      <c r="N36" s="152"/>
      <c r="O36" s="152" t="s">
        <v>110</v>
      </c>
      <c r="P36" s="152" t="s">
        <v>105</v>
      </c>
      <c r="Q36" s="152"/>
      <c r="R36" s="152" t="s">
        <v>147</v>
      </c>
      <c r="S36" s="9"/>
      <c r="T36" s="9"/>
      <c r="U36" s="9"/>
      <c r="V36" s="9"/>
      <c r="W36" s="9"/>
      <c r="X36" s="9"/>
      <c r="Y36" s="9"/>
      <c r="Z36" s="9"/>
    </row>
    <row r="37" spans="1:26" x14ac:dyDescent="0.3">
      <c r="A37" s="152" t="s">
        <v>142</v>
      </c>
      <c r="B37" s="152" t="s">
        <v>144</v>
      </c>
      <c r="C37" s="152" t="s">
        <v>141</v>
      </c>
      <c r="D37" s="152" t="s">
        <v>142</v>
      </c>
      <c r="E37" s="152">
        <v>846000</v>
      </c>
      <c r="F37" s="152"/>
      <c r="G37" s="152"/>
      <c r="H37" s="152">
        <v>846000</v>
      </c>
      <c r="I37" s="152"/>
      <c r="J37" s="152"/>
      <c r="K37" s="152"/>
      <c r="L37" s="152"/>
      <c r="M37" s="152"/>
      <c r="N37" s="152"/>
      <c r="O37" s="152" t="s">
        <v>105</v>
      </c>
      <c r="P37" s="152" t="s">
        <v>110</v>
      </c>
      <c r="Q37" s="152"/>
      <c r="R37" s="152" t="s">
        <v>143</v>
      </c>
      <c r="S37" s="9"/>
      <c r="T37" s="9"/>
      <c r="U37" s="9"/>
      <c r="V37" s="9"/>
      <c r="W37" s="9"/>
      <c r="X37" s="9"/>
      <c r="Y37" s="9"/>
      <c r="Z37" s="9"/>
    </row>
    <row r="38" spans="1:26" x14ac:dyDescent="0.3">
      <c r="A38" s="190" t="s">
        <v>142</v>
      </c>
      <c r="B38" s="190" t="s">
        <v>144</v>
      </c>
      <c r="C38" s="190" t="s">
        <v>148</v>
      </c>
      <c r="D38" s="190" t="s">
        <v>142</v>
      </c>
      <c r="E38" s="190">
        <v>2850000</v>
      </c>
      <c r="F38" s="190"/>
      <c r="G38" s="190"/>
      <c r="H38" s="190"/>
      <c r="I38" s="190"/>
      <c r="J38" s="190"/>
      <c r="K38" s="190">
        <v>2850000</v>
      </c>
      <c r="L38" s="190"/>
      <c r="M38" s="190"/>
      <c r="N38" s="190"/>
      <c r="O38" s="190" t="s">
        <v>105</v>
      </c>
      <c r="P38" s="190" t="s">
        <v>110</v>
      </c>
      <c r="Q38" s="190"/>
      <c r="R38" s="190" t="s">
        <v>147</v>
      </c>
      <c r="S38" s="9"/>
      <c r="T38" s="9"/>
      <c r="U38" s="9"/>
      <c r="V38" s="9"/>
      <c r="W38" s="9"/>
      <c r="X38" s="9"/>
      <c r="Y38" s="9"/>
      <c r="Z38" s="9"/>
    </row>
    <row r="39" spans="1:26" x14ac:dyDescent="0.3">
      <c r="A39" s="190" t="s">
        <v>245</v>
      </c>
      <c r="B39" s="190" t="s">
        <v>144</v>
      </c>
      <c r="C39" s="190" t="s">
        <v>244</v>
      </c>
      <c r="D39" s="190" t="s">
        <v>245</v>
      </c>
      <c r="E39" s="190">
        <v>503755</v>
      </c>
      <c r="F39" s="190"/>
      <c r="G39" s="190"/>
      <c r="H39" s="190"/>
      <c r="I39" s="190"/>
      <c r="J39" s="190"/>
      <c r="K39" s="190">
        <v>503755</v>
      </c>
      <c r="L39" s="190"/>
      <c r="M39" s="190"/>
      <c r="N39" s="190"/>
      <c r="O39" s="190" t="s">
        <v>105</v>
      </c>
      <c r="P39" s="190" t="s">
        <v>110</v>
      </c>
      <c r="Q39" s="190"/>
      <c r="R39" s="190" t="s">
        <v>147</v>
      </c>
      <c r="W39" s="9"/>
      <c r="X39" s="9"/>
      <c r="Y39" s="9"/>
      <c r="Z39" s="9"/>
    </row>
    <row r="40" spans="1:26" x14ac:dyDescent="0.3">
      <c r="H40" s="24"/>
      <c r="W40" s="9"/>
      <c r="X40" s="9"/>
      <c r="Y40" s="9"/>
      <c r="Z40" s="9"/>
    </row>
    <row r="41" spans="1:26" x14ac:dyDescent="0.3">
      <c r="H41" s="24"/>
      <c r="W41" s="9"/>
      <c r="X41" s="9"/>
      <c r="Y41" s="9"/>
      <c r="Z41" s="9"/>
    </row>
    <row r="42" spans="1:26" x14ac:dyDescent="0.3">
      <c r="H42" s="24"/>
      <c r="W42" s="9"/>
      <c r="X42" s="9"/>
      <c r="Y42" s="9"/>
      <c r="Z42" s="9"/>
    </row>
    <row r="43" spans="1:26" x14ac:dyDescent="0.3">
      <c r="H43" s="24"/>
      <c r="W43" s="9"/>
      <c r="X43" s="9"/>
      <c r="Y43" s="9"/>
      <c r="Z43" s="9"/>
    </row>
    <row r="44" spans="1:26" x14ac:dyDescent="0.3">
      <c r="H44" s="24"/>
      <c r="W44" s="9"/>
      <c r="X44" s="9"/>
      <c r="Y44" s="9"/>
      <c r="Z44" s="9"/>
    </row>
    <row r="45" spans="1:26" x14ac:dyDescent="0.3">
      <c r="H45" s="24"/>
      <c r="W45" s="9"/>
      <c r="X45" s="9"/>
      <c r="Y45" s="9"/>
      <c r="Z45" s="9"/>
    </row>
    <row r="46" spans="1:26" x14ac:dyDescent="0.3">
      <c r="H46" s="24"/>
      <c r="W46" s="9"/>
      <c r="X46" s="9"/>
      <c r="Y46" s="9"/>
      <c r="Z46" s="9"/>
    </row>
    <row r="47" spans="1:26" x14ac:dyDescent="0.3">
      <c r="H47" s="24"/>
      <c r="W47" s="9"/>
      <c r="X47" s="9"/>
      <c r="Y47" s="9"/>
      <c r="Z47" s="9"/>
    </row>
    <row r="48" spans="1:26" x14ac:dyDescent="0.3">
      <c r="H48" s="24"/>
      <c r="W48" s="9"/>
      <c r="X48" s="9"/>
      <c r="Y48" s="9"/>
      <c r="Z48" s="9"/>
    </row>
    <row r="49" spans="8:26" x14ac:dyDescent="0.3">
      <c r="H49" s="24"/>
      <c r="W49" s="9"/>
      <c r="X49" s="9"/>
      <c r="Y49" s="9"/>
      <c r="Z49" s="9"/>
    </row>
    <row r="50" spans="8:26" x14ac:dyDescent="0.3">
      <c r="W50" s="9"/>
      <c r="X50" s="9"/>
      <c r="Y50" s="9"/>
      <c r="Z50" s="9"/>
    </row>
  </sheetData>
  <mergeCells count="5">
    <mergeCell ref="A1:F1"/>
    <mergeCell ref="A3:F3"/>
    <mergeCell ref="A9:G9"/>
    <mergeCell ref="A25:G25"/>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5"/>
  <sheetViews>
    <sheetView zoomScaleNormal="100" workbookViewId="0"/>
  </sheetViews>
  <sheetFormatPr defaultRowHeight="14.4" x14ac:dyDescent="0.3"/>
  <cols>
    <col min="1" max="1" width="9.109375" style="1"/>
    <col min="2" max="2" width="20.6640625" customWidth="1"/>
    <col min="3" max="3" width="37.44140625" customWidth="1"/>
    <col min="4" max="4" width="15.6640625" customWidth="1"/>
    <col min="5" max="5" width="18.33203125" customWidth="1"/>
  </cols>
  <sheetData>
    <row r="1" spans="1:5" x14ac:dyDescent="0.35">
      <c r="A1" s="4" t="s">
        <v>13</v>
      </c>
      <c r="B1" s="224" t="s">
        <v>14</v>
      </c>
      <c r="C1" s="224"/>
      <c r="D1" s="224"/>
      <c r="E1" s="224"/>
    </row>
    <row r="2" spans="1:5" ht="81.75" customHeight="1" x14ac:dyDescent="0.35">
      <c r="A2" s="1">
        <v>1</v>
      </c>
      <c r="B2" s="217" t="s">
        <v>16</v>
      </c>
      <c r="C2" s="217"/>
      <c r="D2" s="217"/>
      <c r="E2" s="217"/>
    </row>
    <row r="3" spans="1:5" x14ac:dyDescent="0.3">
      <c r="B3" s="3"/>
      <c r="C3" s="3"/>
      <c r="D3" s="3"/>
      <c r="E3" s="3"/>
    </row>
    <row r="4" spans="1:5" ht="33" customHeight="1" x14ac:dyDescent="0.3">
      <c r="A4" s="1">
        <v>2</v>
      </c>
      <c r="B4" s="217" t="s">
        <v>17</v>
      </c>
      <c r="C4" s="217"/>
      <c r="D4" s="217"/>
      <c r="E4" s="217"/>
    </row>
    <row r="5" spans="1:5" x14ac:dyDescent="0.3">
      <c r="B5" s="3"/>
      <c r="C5" s="3"/>
      <c r="D5" s="3"/>
      <c r="E5" s="3"/>
    </row>
    <row r="6" spans="1:5" s="16" customFormat="1" ht="114" customHeight="1" x14ac:dyDescent="0.3">
      <c r="A6" s="17">
        <v>3</v>
      </c>
      <c r="B6" s="218" t="s">
        <v>71</v>
      </c>
      <c r="C6" s="218"/>
      <c r="D6" s="218"/>
      <c r="E6" s="218"/>
    </row>
    <row r="7" spans="1:5" s="16" customFormat="1" x14ac:dyDescent="0.3">
      <c r="A7" s="17"/>
      <c r="B7" s="18"/>
      <c r="C7" s="18"/>
      <c r="D7" s="18"/>
      <c r="E7" s="18"/>
    </row>
    <row r="8" spans="1:5" ht="18" customHeight="1" x14ac:dyDescent="0.3">
      <c r="A8" s="1">
        <v>4</v>
      </c>
      <c r="B8" s="221" t="s">
        <v>63</v>
      </c>
      <c r="C8" s="221"/>
      <c r="D8" s="8"/>
      <c r="E8" s="8"/>
    </row>
    <row r="9" spans="1:5" ht="18" customHeight="1" x14ac:dyDescent="0.3">
      <c r="B9" s="226" t="s">
        <v>161</v>
      </c>
      <c r="C9" s="226"/>
      <c r="D9" s="12">
        <v>350000</v>
      </c>
    </row>
    <row r="10" spans="1:5" ht="18" customHeight="1" x14ac:dyDescent="0.3">
      <c r="B10" s="217" t="s">
        <v>162</v>
      </c>
      <c r="C10" s="217"/>
      <c r="D10" s="11">
        <v>-87500</v>
      </c>
    </row>
    <row r="11" spans="1:5" ht="18" customHeight="1" x14ac:dyDescent="0.3">
      <c r="B11" s="226" t="s">
        <v>163</v>
      </c>
      <c r="C11" s="226"/>
      <c r="D11" s="13">
        <f>+D9+D10</f>
        <v>262500</v>
      </c>
    </row>
    <row r="12" spans="1:5" ht="31.5" customHeight="1" x14ac:dyDescent="0.3">
      <c r="B12" s="217" t="s">
        <v>164</v>
      </c>
      <c r="C12" s="217"/>
      <c r="D12" s="10">
        <f>350000*0.25</f>
        <v>87500</v>
      </c>
    </row>
    <row r="13" spans="1:5" ht="36.75" customHeight="1" x14ac:dyDescent="0.3">
      <c r="B13" s="226" t="s">
        <v>165</v>
      </c>
      <c r="C13" s="226"/>
      <c r="D13" s="14">
        <f>SUM(D11:D12)</f>
        <v>350000</v>
      </c>
    </row>
    <row r="14" spans="1:5" s="16" customFormat="1" ht="18" customHeight="1" x14ac:dyDescent="0.3">
      <c r="A14" s="17"/>
      <c r="B14" s="21"/>
      <c r="C14" s="21"/>
      <c r="D14" s="22"/>
    </row>
    <row r="15" spans="1:5" s="16" customFormat="1" ht="84.75" customHeight="1" x14ac:dyDescent="0.3">
      <c r="A15" s="1">
        <v>5</v>
      </c>
      <c r="B15" s="225" t="s">
        <v>64</v>
      </c>
      <c r="C15" s="225"/>
      <c r="D15" s="225"/>
      <c r="E15" s="225"/>
    </row>
    <row r="16" spans="1:5" x14ac:dyDescent="0.3">
      <c r="B16" s="3"/>
      <c r="C16" s="3"/>
      <c r="D16" s="3"/>
      <c r="E16" s="3"/>
    </row>
    <row r="17" spans="1:5" ht="14.4" customHeight="1" x14ac:dyDescent="0.3">
      <c r="A17" s="1">
        <v>6</v>
      </c>
      <c r="B17" s="217" t="s">
        <v>201</v>
      </c>
      <c r="C17" s="217"/>
      <c r="D17" s="217"/>
      <c r="E17" s="217"/>
    </row>
    <row r="18" spans="1:5" x14ac:dyDescent="0.3">
      <c r="B18" s="217"/>
      <c r="C18" s="217"/>
      <c r="D18" s="217"/>
      <c r="E18" s="217"/>
    </row>
    <row r="19" spans="1:5" s="16" customFormat="1" x14ac:dyDescent="0.3">
      <c r="A19" s="17"/>
      <c r="B19" s="159"/>
      <c r="C19" s="159"/>
      <c r="D19" s="159"/>
      <c r="E19" s="159"/>
    </row>
    <row r="20" spans="1:5" ht="33" customHeight="1" x14ac:dyDescent="0.3">
      <c r="A20" s="1">
        <v>7</v>
      </c>
      <c r="B20" s="217" t="s">
        <v>38</v>
      </c>
      <c r="C20" s="217"/>
      <c r="D20" s="217"/>
      <c r="E20" s="217"/>
    </row>
    <row r="21" spans="1:5" ht="14.25" customHeight="1" x14ac:dyDescent="0.3">
      <c r="B21" s="7"/>
      <c r="C21" s="7"/>
      <c r="D21" s="7"/>
      <c r="E21" s="7"/>
    </row>
    <row r="22" spans="1:5" ht="47.25" customHeight="1" x14ac:dyDescent="0.3">
      <c r="A22" s="1">
        <v>8</v>
      </c>
      <c r="B22" s="217" t="s">
        <v>39</v>
      </c>
      <c r="C22" s="217"/>
      <c r="D22" s="217"/>
      <c r="E22" s="217"/>
    </row>
    <row r="23" spans="1:5" ht="15" customHeight="1" x14ac:dyDescent="0.3">
      <c r="B23" s="7"/>
      <c r="C23" s="7"/>
      <c r="D23" s="7"/>
      <c r="E23" s="7"/>
    </row>
    <row r="24" spans="1:5" ht="32.25" customHeight="1" x14ac:dyDescent="0.3">
      <c r="A24" s="1">
        <v>9</v>
      </c>
      <c r="B24" s="217" t="s">
        <v>37</v>
      </c>
      <c r="C24" s="217"/>
      <c r="D24" s="217"/>
      <c r="E24" s="217"/>
    </row>
    <row r="25" spans="1:5" ht="15" customHeight="1" x14ac:dyDescent="0.3">
      <c r="B25" s="7"/>
      <c r="C25" s="7"/>
      <c r="D25" s="7"/>
      <c r="E25" s="7"/>
    </row>
    <row r="26" spans="1:5" ht="33" customHeight="1" x14ac:dyDescent="0.3">
      <c r="A26" s="1">
        <v>10</v>
      </c>
      <c r="B26" s="217" t="s">
        <v>40</v>
      </c>
      <c r="C26" s="217"/>
      <c r="D26" s="217"/>
      <c r="E26" s="217"/>
    </row>
    <row r="27" spans="1:5" x14ac:dyDescent="0.3">
      <c r="B27" s="3"/>
      <c r="C27" s="3"/>
      <c r="D27" s="3"/>
      <c r="E27" s="3"/>
    </row>
    <row r="28" spans="1:5" ht="30" customHeight="1" x14ac:dyDescent="0.3">
      <c r="A28" s="1">
        <v>11</v>
      </c>
      <c r="B28" s="217" t="s">
        <v>41</v>
      </c>
      <c r="C28" s="217"/>
      <c r="D28" s="217"/>
      <c r="E28" s="217"/>
    </row>
    <row r="29" spans="1:5" x14ac:dyDescent="0.3">
      <c r="B29" s="3"/>
      <c r="C29" s="3"/>
      <c r="D29" s="3"/>
      <c r="E29" s="3"/>
    </row>
    <row r="30" spans="1:5" ht="31.5" customHeight="1" x14ac:dyDescent="0.3">
      <c r="A30" s="1">
        <v>12</v>
      </c>
      <c r="B30" s="217" t="s">
        <v>42</v>
      </c>
      <c r="C30" s="217"/>
      <c r="D30" s="217"/>
      <c r="E30" s="217"/>
    </row>
    <row r="31" spans="1:5" x14ac:dyDescent="0.3">
      <c r="B31" s="7"/>
      <c r="C31" s="7"/>
      <c r="D31" s="7"/>
      <c r="E31" s="7"/>
    </row>
    <row r="32" spans="1:5" ht="34.5" customHeight="1" x14ac:dyDescent="0.3">
      <c r="A32" s="1">
        <v>13</v>
      </c>
      <c r="B32" s="217" t="s">
        <v>18</v>
      </c>
      <c r="C32" s="217"/>
      <c r="D32" s="217"/>
      <c r="E32" s="217"/>
    </row>
    <row r="33" spans="1:5" ht="16.5" customHeight="1" x14ac:dyDescent="0.3">
      <c r="B33" s="3"/>
      <c r="C33" s="3"/>
      <c r="D33" s="3"/>
      <c r="E33" s="3"/>
    </row>
    <row r="34" spans="1:5" ht="64.5" customHeight="1" x14ac:dyDescent="0.3">
      <c r="A34" s="1">
        <v>14</v>
      </c>
      <c r="B34" s="217" t="s">
        <v>19</v>
      </c>
      <c r="C34" s="217"/>
      <c r="D34" s="217"/>
      <c r="E34" s="217"/>
    </row>
    <row r="35" spans="1:5" ht="14.25" customHeight="1" x14ac:dyDescent="0.3">
      <c r="B35" s="3"/>
      <c r="C35" s="3"/>
      <c r="D35" s="3"/>
      <c r="E35" s="3"/>
    </row>
    <row r="36" spans="1:5" x14ac:dyDescent="0.3">
      <c r="A36" s="1">
        <v>15</v>
      </c>
      <c r="B36" s="221" t="s">
        <v>34</v>
      </c>
      <c r="C36" s="221"/>
      <c r="D36" s="221"/>
      <c r="E36" s="221"/>
    </row>
    <row r="37" spans="1:5" x14ac:dyDescent="0.3">
      <c r="B37" s="15" t="s">
        <v>7</v>
      </c>
      <c r="C37" s="222" t="s">
        <v>20</v>
      </c>
      <c r="D37" s="222"/>
      <c r="E37" s="222"/>
    </row>
    <row r="38" spans="1:5" x14ac:dyDescent="0.3">
      <c r="B38" s="5" t="s">
        <v>21</v>
      </c>
      <c r="C38" s="223" t="s">
        <v>28</v>
      </c>
      <c r="D38" s="223"/>
      <c r="E38" s="223"/>
    </row>
    <row r="39" spans="1:5" x14ac:dyDescent="0.3">
      <c r="B39" s="15" t="s">
        <v>22</v>
      </c>
      <c r="C39" s="222" t="s">
        <v>29</v>
      </c>
      <c r="D39" s="222"/>
      <c r="E39" s="222"/>
    </row>
    <row r="40" spans="1:5" x14ac:dyDescent="0.3">
      <c r="B40" s="5" t="s">
        <v>23</v>
      </c>
      <c r="C40" s="223" t="s">
        <v>32</v>
      </c>
      <c r="D40" s="223"/>
      <c r="E40" s="223"/>
    </row>
    <row r="41" spans="1:5" x14ac:dyDescent="0.3">
      <c r="B41" s="15" t="s">
        <v>9</v>
      </c>
      <c r="C41" s="222" t="s">
        <v>30</v>
      </c>
      <c r="D41" s="222"/>
      <c r="E41" s="222"/>
    </row>
    <row r="42" spans="1:5" x14ac:dyDescent="0.3">
      <c r="B42" s="5" t="s">
        <v>8</v>
      </c>
      <c r="C42" s="223" t="s">
        <v>24</v>
      </c>
      <c r="D42" s="223"/>
      <c r="E42" s="223"/>
    </row>
    <row r="43" spans="1:5" x14ac:dyDescent="0.3">
      <c r="B43" s="15" t="s">
        <v>25</v>
      </c>
      <c r="C43" s="222" t="s">
        <v>26</v>
      </c>
      <c r="D43" s="222"/>
      <c r="E43" s="222"/>
    </row>
    <row r="44" spans="1:5" x14ac:dyDescent="0.3">
      <c r="B44" s="5" t="s">
        <v>27</v>
      </c>
      <c r="C44" s="223" t="s">
        <v>31</v>
      </c>
      <c r="D44" s="223"/>
      <c r="E44" s="223"/>
    </row>
    <row r="45" spans="1:5" s="16" customFormat="1" x14ac:dyDescent="0.3">
      <c r="A45" s="17"/>
      <c r="B45" s="19"/>
      <c r="C45" s="20"/>
      <c r="D45" s="20"/>
      <c r="E45" s="20"/>
    </row>
    <row r="46" spans="1:5" s="16" customFormat="1" x14ac:dyDescent="0.3">
      <c r="A46" s="17">
        <v>16</v>
      </c>
      <c r="B46" s="23" t="s">
        <v>72</v>
      </c>
      <c r="C46" s="20"/>
      <c r="D46" s="20"/>
      <c r="E46" s="20"/>
    </row>
    <row r="47" spans="1:5" s="16" customFormat="1" ht="30" customHeight="1" x14ac:dyDescent="0.3">
      <c r="A47" s="17"/>
      <c r="B47" s="15" t="s">
        <v>55</v>
      </c>
      <c r="C47" s="222" t="s">
        <v>74</v>
      </c>
      <c r="D47" s="222"/>
      <c r="E47" s="222"/>
    </row>
    <row r="48" spans="1:5" s="16" customFormat="1" x14ac:dyDescent="0.3">
      <c r="A48" s="17"/>
      <c r="B48" s="19" t="s">
        <v>56</v>
      </c>
      <c r="C48" s="223" t="s">
        <v>73</v>
      </c>
      <c r="D48" s="223"/>
      <c r="E48" s="223"/>
    </row>
    <row r="49" spans="1:5" s="16" customFormat="1" ht="48.75" customHeight="1" x14ac:dyDescent="0.3">
      <c r="A49" s="17"/>
      <c r="B49" s="15" t="s">
        <v>57</v>
      </c>
      <c r="C49" s="222" t="s">
        <v>76</v>
      </c>
      <c r="D49" s="222"/>
      <c r="E49" s="222"/>
    </row>
    <row r="50" spans="1:5" s="16" customFormat="1" ht="29.25" customHeight="1" x14ac:dyDescent="0.3">
      <c r="A50" s="17"/>
      <c r="B50" s="19" t="s">
        <v>58</v>
      </c>
      <c r="C50" s="223" t="s">
        <v>75</v>
      </c>
      <c r="D50" s="223"/>
      <c r="E50" s="223"/>
    </row>
    <row r="51" spans="1:5" x14ac:dyDescent="0.3">
      <c r="B51" s="5"/>
      <c r="C51" s="6"/>
      <c r="D51" s="6"/>
      <c r="E51" s="6"/>
    </row>
    <row r="52" spans="1:5" ht="94.5" customHeight="1" x14ac:dyDescent="0.3">
      <c r="A52" s="1">
        <v>17</v>
      </c>
      <c r="B52" s="220" t="s">
        <v>33</v>
      </c>
      <c r="C52" s="220"/>
      <c r="D52" s="220"/>
      <c r="E52" s="220"/>
    </row>
    <row r="54" spans="1:5" x14ac:dyDescent="0.3">
      <c r="B54" s="2"/>
    </row>
    <row r="55" spans="1:5" x14ac:dyDescent="0.3">
      <c r="A55" s="219" t="s">
        <v>35</v>
      </c>
      <c r="B55" s="219"/>
      <c r="C55" s="219"/>
      <c r="D55" s="219"/>
      <c r="E55" s="219"/>
    </row>
  </sheetData>
  <mergeCells count="35">
    <mergeCell ref="C47:E47"/>
    <mergeCell ref="C48:E48"/>
    <mergeCell ref="C50:E50"/>
    <mergeCell ref="C49:E49"/>
    <mergeCell ref="B30:E30"/>
    <mergeCell ref="B32:E32"/>
    <mergeCell ref="B34:E34"/>
    <mergeCell ref="B24:E24"/>
    <mergeCell ref="B1:E1"/>
    <mergeCell ref="B2:E2"/>
    <mergeCell ref="B4:E4"/>
    <mergeCell ref="B15:E15"/>
    <mergeCell ref="B10:C10"/>
    <mergeCell ref="B11:C11"/>
    <mergeCell ref="B13:C13"/>
    <mergeCell ref="B12:C12"/>
    <mergeCell ref="B8:C8"/>
    <mergeCell ref="B9:C9"/>
    <mergeCell ref="B17:E18"/>
    <mergeCell ref="B26:E26"/>
    <mergeCell ref="B28:E28"/>
    <mergeCell ref="B6:E6"/>
    <mergeCell ref="A55:E55"/>
    <mergeCell ref="B20:E20"/>
    <mergeCell ref="B52:E52"/>
    <mergeCell ref="B36:E36"/>
    <mergeCell ref="C37:E37"/>
    <mergeCell ref="C38:E38"/>
    <mergeCell ref="C39:E39"/>
    <mergeCell ref="C40:E40"/>
    <mergeCell ref="C41:E41"/>
    <mergeCell ref="C42:E42"/>
    <mergeCell ref="C43:E43"/>
    <mergeCell ref="C44:E44"/>
    <mergeCell ref="B22:E22"/>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2017-07-05T20:31:42Z</cp:lastPrinted>
  <dcterms:created xsi:type="dcterms:W3CDTF">2013-05-11T20:19:37Z</dcterms:created>
  <dcterms:modified xsi:type="dcterms:W3CDTF">2017-09-24T17:13:37Z</dcterms:modified>
</cp:coreProperties>
</file>