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5480" windowHeight="4200"/>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Transactions'!$A$1:$T$35</definedName>
    <definedName name="Query_from_MS_Access_Database" localSheetId="0" hidden="1">'Federal Funds Transactions'!$A$15:$Q$28</definedName>
    <definedName name="Query_from_MS_Access_Database" localSheetId="1" hidden="1">'Regional Loans and Transfers'!$A$11:$R$15</definedName>
    <definedName name="Query_from_MS_Access_Database_1" localSheetId="0" hidden="1">'Federal Funds Transactions'!$A$34:$Q$35</definedName>
    <definedName name="Query_from_MS_Access_Database_1" localSheetId="1" hidden="1">'Regional Loans and Transfers'!$A$20:$R$23</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F35" i="1" l="1"/>
  <c r="R35" i="1"/>
  <c r="S35" i="1" s="1"/>
  <c r="S28" i="1"/>
  <c r="S16" i="1"/>
  <c r="S17" i="1" s="1"/>
  <c r="S18" i="1" s="1"/>
  <c r="S19" i="1" s="1"/>
  <c r="S20" i="1" s="1"/>
  <c r="S21" i="1" s="1"/>
  <c r="S22" i="1" s="1"/>
  <c r="S23" i="1" s="1"/>
  <c r="S24" i="1" s="1"/>
  <c r="S25" i="1" s="1"/>
  <c r="S26" i="1" s="1"/>
  <c r="S27" i="1" s="1"/>
  <c r="F16" i="1"/>
  <c r="F17" i="1"/>
  <c r="F18" i="1"/>
  <c r="F19" i="1"/>
  <c r="F20" i="1"/>
  <c r="F21" i="1"/>
  <c r="F22" i="1"/>
  <c r="F23" i="1"/>
  <c r="F24" i="1"/>
  <c r="F25" i="1"/>
  <c r="F26" i="1"/>
  <c r="F27" i="1"/>
  <c r="F28" i="1"/>
  <c r="R16" i="1"/>
  <c r="R17" i="1"/>
  <c r="R18" i="1"/>
  <c r="R19" i="1"/>
  <c r="R20" i="1"/>
  <c r="R21" i="1"/>
  <c r="R22" i="1"/>
  <c r="R23" i="1"/>
  <c r="R24" i="1"/>
  <c r="R25" i="1"/>
  <c r="R26" i="1"/>
  <c r="R27" i="1"/>
  <c r="R28" i="1"/>
  <c r="S46" i="1" l="1"/>
  <c r="Q46" i="1"/>
  <c r="P46" i="1"/>
  <c r="O46" i="1"/>
  <c r="N46" i="1"/>
  <c r="R46" i="1" l="1"/>
  <c r="B5" i="3"/>
  <c r="N29" i="1" l="1"/>
  <c r="R4" i="1" l="1"/>
  <c r="R5" i="1" l="1"/>
  <c r="S5" i="1" s="1"/>
  <c r="S4" i="1"/>
  <c r="D12" i="2" l="1"/>
  <c r="O38" i="1" l="1"/>
  <c r="P38" i="1"/>
  <c r="Q38" i="1"/>
  <c r="R38" i="1"/>
  <c r="N38" i="1"/>
  <c r="O29" i="1"/>
  <c r="P29" i="1"/>
  <c r="Q29" i="1"/>
  <c r="R29" i="1" l="1"/>
  <c r="O11" i="1" l="1"/>
  <c r="O10" i="1"/>
  <c r="O9" i="1"/>
  <c r="O8" i="1"/>
  <c r="O7" i="1"/>
  <c r="O6" i="1"/>
  <c r="O12" i="1" l="1"/>
  <c r="O30" i="1" s="1"/>
  <c r="A7" i="3" l="1"/>
  <c r="N11" i="1" l="1"/>
  <c r="N10" i="1"/>
  <c r="N9" i="1"/>
  <c r="N8" i="1"/>
  <c r="N7" i="1"/>
  <c r="N6" i="1"/>
  <c r="P11" i="1"/>
  <c r="P10" i="1"/>
  <c r="P9" i="1"/>
  <c r="P8" i="1"/>
  <c r="P7" i="1"/>
  <c r="P6" i="1"/>
  <c r="Q6" i="1"/>
  <c r="Q7" i="1"/>
  <c r="Q8" i="1"/>
  <c r="Q9" i="1"/>
  <c r="Q10" i="1"/>
  <c r="S11" i="1"/>
  <c r="Q11" i="1"/>
  <c r="S7" i="1"/>
  <c r="S8" i="1"/>
  <c r="S9" i="1"/>
  <c r="S10" i="1"/>
  <c r="S6" i="1"/>
  <c r="R7" i="1" l="1"/>
  <c r="R8" i="1"/>
  <c r="R9" i="1"/>
  <c r="R10" i="1"/>
  <c r="R11" i="1"/>
  <c r="D11" i="2" l="1"/>
  <c r="D13" i="2" l="1"/>
  <c r="P12" i="1" s="1"/>
  <c r="O39" i="1" l="1"/>
  <c r="O45" i="1" s="1"/>
  <c r="O47" i="1" s="1"/>
  <c r="P30" i="1"/>
  <c r="R6" i="1"/>
  <c r="A1" i="3" l="1"/>
  <c r="N12" i="1" l="1"/>
  <c r="N30" i="1" l="1"/>
  <c r="N39" i="1" s="1"/>
  <c r="N45" i="1" s="1"/>
  <c r="N47" i="1" s="1"/>
  <c r="Q12" i="1"/>
  <c r="Q30" i="1" s="1"/>
  <c r="R12" i="1" l="1"/>
  <c r="P39" i="1"/>
  <c r="P45" i="1" s="1"/>
  <c r="S12" i="1"/>
  <c r="Q39" i="1" l="1"/>
  <c r="Q45" i="1" s="1"/>
  <c r="R30" i="1"/>
  <c r="R39" i="1" s="1"/>
  <c r="R45" i="1" l="1"/>
  <c r="Q47" i="1"/>
  <c r="R47" i="1" s="1"/>
  <c r="S47" i="1"/>
  <c r="S45" i="1" s="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10-SUNMPO LEDGER`.`ADOT#`, `10-SUNMPO LEDGER`.`TIP#`, `10-SUNMPO LEDGER`.Sponsor, `10-SUNMPO LEDGER`.`Action/15`, `10-SUNMPO LEDGER`.Location, `10-SUNMPO LEDGER`.RTE, `10-SUNMPO LEDGER`.SEC, `10-SUNMPO LEDGER`.SEQ, `10-SUNMPO LEDGER`.`PB Expected`, `10-SUNMPO LEDGER`.`PB Received`, `10-SUNMPO LEDGER`.`PF Transmitted`, `10-SUNMPO LEDGER`.`Finance Authorization`, `10-SUNMPO LEDGER`.HSIP, `10-SUNMPO LEDGER`.PL, `10-SUNMPO LEDGER`.SPR, `10-SUNMPO LEDGER`.`STP OTHER`_x000d__x000a_FROM `G:\FMS\RESOURCE\ACCESS\010614 PBPF\011614 PBPF front.accdb`.`10-SUNMPO LEDGER` `10-SUNMPO LEDGER`_x000d__x000a_WHERE (`10-SUNMPO LEDGER`.`ADOT#` Not Like 'TRICK') AND (`10-SUNMPO LEDGER`.`Finance Authorization` Is Not Null)"/>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10-SUNqryLedgerApportsCrosstab`.`Transaction Year`, `10-SUNqryLedgerApportsCrosstab`.`Transaction Type`, `10-SUNqryLedgerApportsCrosstab`.Number, `10-SUNqryLedgerApportsCrosstab`.`From`, `10-SUNqryLedgerApportsCrosstab`.To, `10-SUNqryLedgerApportsCrosstab`.`Repayment Year`, `10-SUNqryLedgerApportsCrosstab`.Project8, `10-SUNqryLedgerApportsCrosstab`.Notes, `10-SUNqryLedgerApportsCrosstab`.Total, `10-SUNqryLedgerApportsCrosstab`.CMAQ, `10-SUNqryLedgerApportsCrosstab`.`CMAQ 2_5`, `10-SUNqryLedgerApportsCrosstab`.HSIP, `10-SUNqryLedgerApportsCrosstab`.PL, `10-SUNqryLedgerApportsCrosstab`.SPR, `10-SUNqryLedgerApportsCrosstab`.`STP other`, `10-SUNqryLedgerApportsCrosstab`.`STP over 200K`, `10-SUNqryLedgerApportsCrosstab`.`TA other`, `10-SUNqryLedgerApportsCrosstab`.`TA over 200K`_x000d__x000a_FROM `G:\FMS\RESOURCE\ACCESS\010614 PBPF\011614 PBPF front.accdb`.`10-SUNqryLedgerApportsCrosstab` `10-SUNqryLedgerApportsCrosstab`_x000d__x000a_WHERE (`10-SUN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10-SUNqryLedgerOACrosstab`.`Transaction Year`, `10-SUNqryLedgerOACrosstab`.`Transaction Type`, `10-SUNqryLedgerOACrosstab`.Number, `10-SUNqryLedgerOACrosstab`.`From`, `10-SUNqryLedgerOACrosstab`.To, `10-SUNqryLedgerOACrosstab`.`Repayment Year`, `10-SUNqryLedgerOACrosstab`.Project8, `10-SUNqryLedgerOACrosstab`.Notes, `10-SUNqryLedgerOACrosstab`.Total, `10-SUNqryLedgerOACrosstab`.CMAQ, `10-SUNqryLedgerOACrosstab`.`CMAQ 2_5`, `10-SUNqryLedgerOACrosstab`.HSIP, `10-SUNqryLedgerOACrosstab`.PL, `10-SUNqryLedgerOACrosstab`.SPR, `10-SUNqryLedgerOACrosstab`.`STP other`, `10-SUNqryLedgerOACrosstab`.`STP over 200K`, `10-SUNqryLedgerOACrosstab`.`TA other`, `10-SUNqryLedgerOACrosstab`.`TA over 200K`_x000d__x000a_FROM `G:\FMS\RESOURCE\ACCESS\010614 PBPF\011614 PBPF front.accdb`.`10-SUNqryLedgerOACrosstab` `10-SUNqryLedgerOACrosstab`_x000d__x000a_WHERE (`10-SUN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10-SUNMPO LEDGER`.`ADOT#`, `10-SUNMPO LEDGER`.`TIP#`, `10-SUNMPO LEDGER`.Sponsor, `10-SUNMPO LEDGER`.`Action/15`, `10-SUNMPO LEDGER`.Location, `10-SUNMPO LEDGER`.RTE, `10-SUNMPO LEDGER`.SEC, `10-SUNMPO LEDGER`.SEQ, `10-SUNMPO LEDGER`.`PB Expected`, `10-SUNMPO LEDGER`.`PB Received`, `10-SUNMPO LEDGER`.`PF Transmitted`, `10-SUNMPO LEDGER`.`Finance Authorization`, `10-SUNMPO LEDGER`.HSIP, `10-SUNMPO LEDGER`.PL, `10-SUNMPO LEDGER`.SPR, `10-SUNMPO LEDGER`.`STP OTHER`_x000d__x000a_FROM `G:\FMS\RESOURCE\ACCESS\010614 PBPF\011614 PBPF front.accdb`.`10-SUNMPO LEDGER` `10-SUNMPO LEDGER`_x000d__x000a_WHERE (`10-SUNMPO LEDGER`.`ADOT#` Not Like 'TRICK') AND (`10-SUNMPO LEDGER`.`Finance Authorization` Is Null)"/>
  </connection>
</connections>
</file>

<file path=xl/sharedStrings.xml><?xml version="1.0" encoding="utf-8"?>
<sst xmlns="http://schemas.openxmlformats.org/spreadsheetml/2006/main" count="320" uniqueCount="181">
  <si>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</si>
  <si>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</si>
  <si>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</si>
  <si>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</si>
  <si>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</si>
  <si>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</si>
  <si>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</si>
  <si>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</si>
  <si>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</si>
  <si>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</si>
  <si>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</si>
  <si>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</si>
  <si>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</si>
  <si>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</si>
  <si>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</si>
  <si>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</si>
  <si>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</si>
  <si>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</si>
  <si>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</si>
  <si>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</si>
  <si>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</si>
  <si>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</si>
  <si>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</si>
  <si>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</si>
  <si>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</si>
  <si>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</si>
  <si>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</si>
  <si>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</si>
  <si>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</si>
  <si>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</si>
  <si>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</si>
  <si>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</si>
  <si>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</si>
  <si>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r>
      <t xml:space="preserve">LAPSING FUNDS:  </t>
    </r>
    <r>
      <rPr>
        <sz val="11"/>
        <rFont val="Calibri"/>
        <family val="2"/>
        <scheme val="minor"/>
      </rPr>
      <t xml:space="preserve">Carried forward apportionments and obligation authority lapse pursuant to the following schedule:
</t>
    </r>
    <r>
      <rPr>
        <sz val="8"/>
        <rFont val="Wingdings"/>
        <charset val="2"/>
      </rPr>
      <t>t</t>
    </r>
    <r>
      <rPr>
        <sz val="11"/>
        <rFont val="Calibri"/>
        <family val="2"/>
        <scheme val="minor"/>
      </rPr>
      <t xml:space="preserve">   Carried forward from FFY 11 and earlier - lapses 6/30/13
</t>
    </r>
    <r>
      <rPr>
        <sz val="8"/>
        <rFont val="Wingdings"/>
        <charset val="2"/>
      </rPr>
      <t>t</t>
    </r>
    <r>
      <rPr>
        <sz val="11"/>
        <rFont val="Calibri"/>
        <family val="2"/>
        <scheme val="minor"/>
      </rPr>
      <t xml:space="preserve">   FFY 12 funds - lapses 6/30/13
</t>
    </r>
    <r>
      <rPr>
        <sz val="8"/>
        <rFont val="Wingdings"/>
        <charset val="2"/>
      </rPr>
      <t>t</t>
    </r>
    <r>
      <rPr>
        <sz val="11"/>
        <rFont val="Calibri"/>
        <family val="2"/>
        <scheme val="minor"/>
      </rPr>
      <t xml:space="preserve">   FFY 13 funds - lapses 6/30/14
</t>
    </r>
    <r>
      <rPr>
        <sz val="8"/>
        <rFont val="Wingdings"/>
        <charset val="2"/>
      </rPr>
      <t xml:space="preserve">t </t>
    </r>
    <r>
      <rPr>
        <sz val="11"/>
        <rFont val="Calibri"/>
        <family val="2"/>
        <scheme val="minor"/>
      </rPr>
      <t xml:space="preserve">Funds from FFY 14 and thereafter - lapse annually on 6/30 of the year of allocation
</t>
    </r>
  </si>
  <si>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</si>
  <si>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</si>
  <si>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</si>
  <si>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</si>
  <si>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</si>
  <si>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</si>
  <si>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</si>
  <si>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</si>
  <si>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</si>
  <si>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CMAQ</t>
  </si>
  <si>
    <t>CMAQ 2_5</t>
  </si>
  <si>
    <t>PL</t>
  </si>
  <si>
    <t>STP over 200K</t>
  </si>
  <si>
    <t>TA other</t>
  </si>
  <si>
    <t>TA over 200K</t>
  </si>
  <si>
    <t>Transaction Year</t>
  </si>
  <si>
    <t>Transaction Type</t>
  </si>
  <si>
    <t>Repayment Year</t>
  </si>
  <si>
    <t>RTE</t>
  </si>
  <si>
    <t>SEC</t>
  </si>
  <si>
    <t>SEQ</t>
  </si>
  <si>
    <t>PB Expected</t>
  </si>
  <si>
    <t>PB Received</t>
  </si>
  <si>
    <t>PF Transmitted</t>
  </si>
  <si>
    <t>Finance Authorization</t>
  </si>
  <si>
    <t>STP OTHER</t>
  </si>
  <si>
    <t>FED #</t>
  </si>
  <si>
    <t>EXPECTED DECLINING BALANCE OA</t>
  </si>
  <si>
    <t>TOTAL</t>
  </si>
  <si>
    <t>SPR /4</t>
  </si>
  <si>
    <t xml:space="preserve">State FY 14 amount available for authorization 10/1/13 - 6/30/14 </t>
  </si>
  <si>
    <t>SPR apportionment availability for approved work program</t>
  </si>
  <si>
    <t>State FY 14 Approved work program amount</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</si>
  <si>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</si>
  <si>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 xml:space="preserve">State FY 14 amount authorized prior to 9/30/13 </t>
  </si>
  <si>
    <t>Total SPR apportionments for Federal Fiscal Year 14 (as shown on ledger)</t>
  </si>
  <si>
    <t>APPORTIONMENTS</t>
  </si>
  <si>
    <t>STP</t>
  </si>
  <si>
    <t>OA</t>
  </si>
  <si>
    <t>HSIP/3</t>
  </si>
  <si>
    <t>AUTHORIZED FINANCE ACTIONS /14</t>
  </si>
  <si>
    <t>/ 6</t>
  </si>
  <si>
    <t>Processing Status /16</t>
  </si>
  <si>
    <r>
      <t xml:space="preserve">Available HSIP funding should be programmed </t>
    </r>
    <r>
      <rPr>
        <b/>
        <i/>
        <sz val="11"/>
        <color theme="1"/>
        <rFont val="Calibri"/>
        <family val="2"/>
        <scheme val="minor"/>
      </rPr>
      <t>only</t>
    </r>
    <r>
      <rPr>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</si>
  <si>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</si>
  <si>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</si>
  <si>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</si>
  <si>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</si>
  <si>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</si>
  <si>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</si>
  <si>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</si>
  <si>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</si>
  <si>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</si>
  <si>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</si>
  <si>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</si>
  <si>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</si>
  <si>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</si>
  <si>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Carry Forward to FFY 15</t>
  </si>
  <si>
    <t>LAPSING FUNDS /17</t>
  </si>
  <si>
    <t>State FY 15 amount avaiilable for authorization 7/1/14 - 9/30/14 (request must be submitted by 9/1/14)</t>
  </si>
  <si>
    <t>CURRENT YEAR FUNDS</t>
  </si>
  <si>
    <t>APPORTIONMENT LOANS, REPAYMENTS AND TRANSFERS /see Notes 7 - 12</t>
  </si>
  <si>
    <t>OA LOANS, REPAYMENTS AND TRANSFERS /see Notes 7 - 12</t>
  </si>
  <si>
    <t>Data as of:</t>
  </si>
  <si>
    <t xml:space="preserve">Federal Aid Regional Loans and Transfers Ledger
</t>
  </si>
  <si>
    <t>Action/15</t>
  </si>
  <si>
    <t>Repayment Out</t>
  </si>
  <si>
    <t>Transfer In</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</si>
  <si>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</si>
  <si>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</si>
  <si>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</si>
  <si>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r>
      <t xml:space="preserve">FFY Total Available 
</t>
    </r>
    <r>
      <rPr>
        <b/>
        <sz val="9"/>
        <color rgb="FFFF0000"/>
        <rFont val="Arial Unicode MS"/>
        <family val="2"/>
      </rPr>
      <t xml:space="preserve">**LAPSES ON 6/30** </t>
    </r>
    <r>
      <rPr>
        <sz val="9"/>
        <rFont val="Arial Unicode MS"/>
        <family val="2"/>
      </rPr>
      <t>/13</t>
    </r>
  </si>
  <si>
    <t>From</t>
  </si>
  <si>
    <t>To</t>
  </si>
  <si>
    <t>Project8</t>
  </si>
  <si>
    <t>Notes</t>
  </si>
  <si>
    <t>DECLINING BALANCE OA</t>
  </si>
  <si>
    <t>Sun Corridor Metropolitan Planning Organization</t>
  </si>
  <si>
    <t>Loan In</t>
  </si>
  <si>
    <t>The  OA to apportionments for FFY 14 is  NOW 94.9%. Congress has provided the remainder of the OA for the federal fiscal year. As of 2/28/14 previous ledgers were estimating OA at 95.5%.</t>
  </si>
  <si>
    <t>SH61801C</t>
  </si>
  <si>
    <t>CLG14-01C</t>
  </si>
  <si>
    <t>COOLIDGE</t>
  </si>
  <si>
    <t>CITYWIDE STRIPING</t>
  </si>
  <si>
    <t>CLG</t>
  </si>
  <si>
    <t>0</t>
  </si>
  <si>
    <t>206</t>
  </si>
  <si>
    <t>SH61803D</t>
  </si>
  <si>
    <t>203</t>
  </si>
  <si>
    <t>SH63201C</t>
  </si>
  <si>
    <t>ELY-14-01C</t>
  </si>
  <si>
    <t>ELOY</t>
  </si>
  <si>
    <t>PROCUREMENT OF 500 REGULATORY STREET SIGNS</t>
  </si>
  <si>
    <t>ELY</t>
  </si>
  <si>
    <t>SH63203D</t>
  </si>
  <si>
    <t>SUNMPO</t>
  </si>
  <si>
    <t>000</t>
  </si>
  <si>
    <t>SZ13002D</t>
  </si>
  <si>
    <t>CLG 16-01D</t>
  </si>
  <si>
    <t>MAIN ST FROM COOLIDGE AVE TO PINKLEY AVE, COOLIDGE</t>
  </si>
  <si>
    <t>207</t>
  </si>
  <si>
    <t>2014</t>
  </si>
  <si>
    <t>CAG-T002</t>
  </si>
  <si>
    <t>CAG</t>
  </si>
  <si>
    <t>None</t>
  </si>
  <si>
    <t>SZ130</t>
  </si>
  <si>
    <t>STP Transfer to SCMPO from SUNMPO</t>
  </si>
  <si>
    <t>WACOG14-L004</t>
  </si>
  <si>
    <t>WACOG</t>
  </si>
  <si>
    <t>2016</t>
  </si>
  <si>
    <t>SCMPO SAFTEY PLAN</t>
  </si>
  <si>
    <t>WACOG HSIP LOAN TO SUNPMO</t>
  </si>
  <si>
    <t>WACOG HSIP LOAN TO SUNPMO REPAYMENT</t>
  </si>
  <si>
    <t>PSCHS01P</t>
  </si>
  <si>
    <t>SUN CORRIDOR MPA</t>
  </si>
  <si>
    <t>999</t>
  </si>
  <si>
    <t>A</t>
  </si>
  <si>
    <t>452</t>
  </si>
  <si>
    <t>PSCHS02P</t>
  </si>
  <si>
    <t>PL40120P</t>
  </si>
  <si>
    <t>ADOT</t>
  </si>
  <si>
    <t>SUN CORRIDER MPO FY 2014</t>
  </si>
  <si>
    <t>V</t>
  </si>
  <si>
    <t>184</t>
  </si>
  <si>
    <t>PS40120P</t>
  </si>
  <si>
    <t>Sun Corridor SPR FY 2014</t>
  </si>
  <si>
    <t>P</t>
  </si>
  <si>
    <t>PSC1401P</t>
  </si>
  <si>
    <t>SUN CORRIDOR SURFACE TRANSPORT PROG 2014</t>
  </si>
  <si>
    <t>445</t>
  </si>
  <si>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</si>
  <si>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Current FFY
Apportionments /5</t>
  </si>
  <si>
    <t>Planned Lapsing - 06/30/14</t>
  </si>
  <si>
    <t>Lapsed - 07/01/14</t>
  </si>
  <si>
    <t>Planned Lapsing - 09/30/14</t>
  </si>
  <si>
    <t>Lapsing</t>
  </si>
  <si>
    <t>SUNMPO-LP01</t>
  </si>
  <si>
    <t>SUNMPO LAPSING FUNDS - FFY14</t>
  </si>
  <si>
    <t>PL40121P</t>
  </si>
  <si>
    <t>SUN CORRIDER MPO FY 2015</t>
  </si>
  <si>
    <t>186</t>
  </si>
  <si>
    <t>PS40121P</t>
  </si>
  <si>
    <t>72915</t>
  </si>
  <si>
    <t>Sun Corridor SPR FY 2015</t>
  </si>
  <si>
    <t>72914</t>
  </si>
  <si>
    <t>Federal Aid Transaction Ledger
Federal Fiscal Year 2014</t>
  </si>
  <si>
    <t>Year ending 09/30/2014 FINAL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</si>
</sst>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43" formatCode="_(* #,##0.00_);_(* \(#,##0.00\);_(* &quot;-&quot;??_);_(@_)"/>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b/>
      <sz val="11"/>
      <color rgb="FFFF0000"/>
      <name val="Calibri"/>
      <family val="2"/>
      <scheme val="minor"/>
    </font>
    <font>
      <sz val="8"/>
      <name val="Wingdings"/>
      <charset val="2"/>
    </font>
    <font>
      <sz val="10"/>
      <color indexed="8"/>
      <name val="Arial"/>
      <family val="2"/>
    </font>
    <font>
      <sz val="11"/>
      <color indexed="8"/>
      <name val="Calibri"/>
      <family val="2"/>
    </font>
    <font>
      <b/>
      <sz val="10"/>
      <name val="Calibri"/>
      <family val="2"/>
      <scheme val="minor"/>
    </font>
    <font>
      <b/>
      <i/>
      <sz val="11"/>
      <color theme="1"/>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9"/>
      <color theme="1"/>
      <name val="Arial Unicode MS"/>
    </font>
    <font>
      <sz val="9"/>
      <name val="Arial Unicode MS"/>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FFFFCC"/>
        <bgColor indexed="64"/>
      </patternFill>
    </fill>
    <fill>
      <patternFill patternType="solid">
        <fgColor rgb="FFFFFFCC"/>
        <bgColor theme="8"/>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8" fillId="0" borderId="0"/>
    <xf numFmtId="43" fontId="1" fillId="0" borderId="0" applyFont="0" applyFill="0" applyBorder="0" applyAlignment="0" applyProtection="0"/>
  </cellStyleXfs>
  <cellXfs count="179">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9"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12"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4" fillId="0" borderId="0" xfId="0" applyFont="1" applyAlignment="1">
      <alignment vertical="top" wrapText="1"/>
    </xf>
    <xf numFmtId="14" fontId="14" fillId="0" borderId="0" xfId="0" applyNumberFormat="1" applyFont="1" applyAlignment="1">
      <alignment vertical="top" wrapText="1"/>
    </xf>
    <xf numFmtId="14" fontId="15" fillId="0" borderId="0" xfId="0" applyNumberFormat="1" applyFont="1" applyAlignment="1">
      <alignment horizontal="center" vertical="center" wrapText="1"/>
    </xf>
    <xf numFmtId="40" fontId="14" fillId="0" borderId="0" xfId="0" applyNumberFormat="1" applyFont="1" applyAlignment="1">
      <alignment vertical="top" wrapText="1"/>
    </xf>
    <xf numFmtId="40" fontId="14" fillId="0" borderId="0" xfId="1" applyNumberFormat="1" applyFont="1" applyAlignment="1">
      <alignment vertical="top" wrapText="1"/>
    </xf>
    <xf numFmtId="0" fontId="16" fillId="0" borderId="0" xfId="0" applyFont="1" applyAlignment="1">
      <alignment vertical="top" wrapText="1"/>
    </xf>
    <xf numFmtId="40" fontId="19" fillId="2" borderId="16" xfId="1" applyNumberFormat="1" applyFont="1" applyFill="1" applyBorder="1" applyAlignment="1">
      <alignment horizontal="center" vertical="center" wrapText="1"/>
    </xf>
    <xf numFmtId="0" fontId="16" fillId="0" borderId="0" xfId="0" applyFont="1" applyAlignment="1">
      <alignment horizontal="left" vertical="top" wrapText="1"/>
    </xf>
    <xf numFmtId="40" fontId="20" fillId="0" borderId="3" xfId="0" applyNumberFormat="1" applyFont="1" applyBorder="1" applyAlignment="1">
      <alignment horizontal="right" vertical="center" wrapText="1"/>
    </xf>
    <xf numFmtId="40" fontId="20" fillId="0" borderId="1" xfId="0" applyNumberFormat="1" applyFont="1" applyBorder="1" applyAlignment="1">
      <alignment horizontal="right" vertical="center" wrapText="1"/>
    </xf>
    <xf numFmtId="40" fontId="20" fillId="0" borderId="1" xfId="0" applyNumberFormat="1" applyFont="1" applyFill="1" applyBorder="1" applyAlignment="1">
      <alignment horizontal="right" vertical="center" wrapText="1"/>
    </xf>
    <xf numFmtId="40" fontId="20" fillId="0" borderId="3" xfId="0" applyNumberFormat="1" applyFont="1" applyFill="1" applyBorder="1" applyAlignment="1">
      <alignment horizontal="right" vertical="top" wrapText="1"/>
    </xf>
    <xf numFmtId="40" fontId="20" fillId="0" borderId="1" xfId="0" applyNumberFormat="1" applyFont="1" applyFill="1" applyBorder="1" applyAlignment="1">
      <alignment horizontal="right" vertical="top" wrapText="1"/>
    </xf>
    <xf numFmtId="40" fontId="20" fillId="0" borderId="4" xfId="0" applyNumberFormat="1" applyFont="1" applyFill="1" applyBorder="1" applyAlignment="1">
      <alignment horizontal="right" vertical="top" wrapText="1"/>
    </xf>
    <xf numFmtId="49" fontId="14" fillId="0" borderId="0" xfId="1" applyNumberFormat="1" applyFont="1" applyAlignment="1">
      <alignment vertical="top" wrapText="1"/>
    </xf>
    <xf numFmtId="40" fontId="20" fillId="0" borderId="3" xfId="0" applyNumberFormat="1" applyFont="1" applyFill="1" applyBorder="1" applyAlignment="1">
      <alignment vertical="top" wrapText="1"/>
    </xf>
    <xf numFmtId="40" fontId="24" fillId="0" borderId="0" xfId="0" applyNumberFormat="1" applyFont="1" applyFill="1" applyBorder="1" applyAlignment="1">
      <alignment vertical="top" wrapText="1"/>
    </xf>
    <xf numFmtId="14" fontId="14" fillId="0" borderId="0" xfId="0" applyNumberFormat="1" applyFont="1" applyAlignment="1">
      <alignment horizontal="left" vertical="center" wrapText="1"/>
    </xf>
    <xf numFmtId="0" fontId="14" fillId="0" borderId="0" xfId="0" applyFont="1" applyAlignment="1">
      <alignment horizontal="left" vertical="top" wrapText="1"/>
    </xf>
    <xf numFmtId="40" fontId="26" fillId="0" borderId="3" xfId="0" applyNumberFormat="1" applyFont="1" applyFill="1" applyBorder="1" applyAlignment="1">
      <alignment horizontal="right" vertical="top" wrapText="1"/>
    </xf>
    <xf numFmtId="40" fontId="26" fillId="0" borderId="1" xfId="0" applyNumberFormat="1" applyFont="1" applyFill="1" applyBorder="1" applyAlignment="1">
      <alignment horizontal="right" vertical="top" wrapText="1"/>
    </xf>
    <xf numFmtId="40" fontId="23" fillId="0" borderId="0" xfId="0" applyNumberFormat="1" applyFont="1" applyBorder="1" applyAlignment="1">
      <alignment horizontal="left" vertical="top" wrapText="1"/>
    </xf>
    <xf numFmtId="40" fontId="23" fillId="0" borderId="0" xfId="0" applyNumberFormat="1" applyFont="1" applyFill="1" applyBorder="1" applyAlignment="1">
      <alignment horizontal="right" vertical="top" wrapText="1"/>
    </xf>
    <xf numFmtId="40" fontId="16" fillId="0" borderId="0" xfId="0" applyNumberFormat="1" applyFont="1" applyBorder="1" applyAlignment="1">
      <alignment vertical="top" wrapText="1"/>
    </xf>
    <xf numFmtId="40" fontId="24" fillId="0" borderId="0" xfId="0" applyNumberFormat="1" applyFont="1" applyBorder="1" applyAlignment="1">
      <alignment vertical="top" wrapText="1"/>
    </xf>
    <xf numFmtId="0" fontId="14" fillId="0" borderId="0" xfId="0" applyFont="1" applyBorder="1" applyAlignment="1">
      <alignment vertical="top" wrapText="1"/>
    </xf>
    <xf numFmtId="14" fontId="14" fillId="0" borderId="0" xfId="0" applyNumberFormat="1" applyFont="1" applyBorder="1" applyAlignment="1">
      <alignment vertical="top" wrapText="1"/>
    </xf>
    <xf numFmtId="40" fontId="14" fillId="0" borderId="0" xfId="0" applyNumberFormat="1" applyFont="1" applyBorder="1" applyAlignment="1">
      <alignment vertical="top" wrapText="1"/>
    </xf>
    <xf numFmtId="0" fontId="20" fillId="0" borderId="0" xfId="0" applyFont="1" applyBorder="1" applyAlignment="1">
      <alignment vertical="top" wrapText="1"/>
    </xf>
    <xf numFmtId="0" fontId="24" fillId="0" borderId="0" xfId="0" applyFont="1" applyBorder="1" applyAlignment="1">
      <alignment vertical="top" wrapText="1"/>
    </xf>
    <xf numFmtId="0" fontId="24" fillId="0" borderId="0" xfId="0" applyFont="1" applyBorder="1" applyAlignment="1">
      <alignment horizontal="center" vertical="center" wrapText="1"/>
    </xf>
    <xf numFmtId="40" fontId="20" fillId="0" borderId="0" xfId="0" applyNumberFormat="1" applyFont="1" applyBorder="1" applyAlignment="1">
      <alignment vertical="top" wrapText="1"/>
    </xf>
    <xf numFmtId="0" fontId="28" fillId="0" borderId="0" xfId="0" applyFont="1" applyAlignment="1">
      <alignment horizontal="left" vertical="top"/>
    </xf>
    <xf numFmtId="43" fontId="0" fillId="0" borderId="1" xfId="3" applyFont="1" applyBorder="1"/>
    <xf numFmtId="43" fontId="13" fillId="0" borderId="1" xfId="3" applyFont="1" applyBorder="1"/>
    <xf numFmtId="43" fontId="0" fillId="0" borderId="10" xfId="3" applyFont="1" applyBorder="1"/>
    <xf numFmtId="43" fontId="13" fillId="0" borderId="10" xfId="3" applyFont="1" applyBorder="1"/>
    <xf numFmtId="43" fontId="13" fillId="0" borderId="2" xfId="3" applyFont="1" applyBorder="1"/>
    <xf numFmtId="14" fontId="0" fillId="0" borderId="0" xfId="3" applyNumberFormat="1" applyFont="1" applyAlignment="1">
      <alignment horizontal="left" vertical="center" wrapText="1"/>
    </xf>
    <xf numFmtId="14" fontId="23" fillId="2" borderId="1" xfId="0" applyNumberFormat="1" applyFont="1" applyFill="1" applyBorder="1" applyAlignment="1">
      <alignment horizontal="center" vertical="center" wrapText="1"/>
    </xf>
    <xf numFmtId="14" fontId="19" fillId="0" borderId="9" xfId="1" applyNumberFormat="1" applyFont="1" applyFill="1" applyBorder="1" applyAlignment="1">
      <alignment horizontal="center" vertical="center" wrapText="1"/>
    </xf>
    <xf numFmtId="40" fontId="19" fillId="0" borderId="14" xfId="1" applyNumberFormat="1" applyFont="1" applyFill="1" applyBorder="1" applyAlignment="1">
      <alignment horizontal="center" vertical="center" wrapText="1"/>
    </xf>
    <xf numFmtId="40" fontId="19" fillId="0" borderId="5" xfId="1" applyNumberFormat="1" applyFont="1" applyFill="1" applyBorder="1" applyAlignment="1">
      <alignment horizontal="center" vertical="center" wrapText="1"/>
    </xf>
    <xf numFmtId="40" fontId="19" fillId="0" borderId="15" xfId="1" applyNumberFormat="1" applyFont="1" applyFill="1" applyBorder="1" applyAlignment="1">
      <alignment horizontal="center" vertical="center" wrapText="1"/>
    </xf>
    <xf numFmtId="43" fontId="13" fillId="0" borderId="0" xfId="3" applyFont="1" applyBorder="1"/>
    <xf numFmtId="43" fontId="0" fillId="0" borderId="8" xfId="3" applyFont="1" applyBorder="1"/>
    <xf numFmtId="43" fontId="0" fillId="0" borderId="5" xfId="3" applyFont="1" applyBorder="1"/>
    <xf numFmtId="43" fontId="0" fillId="0" borderId="9" xfId="3" applyFont="1" applyBorder="1"/>
    <xf numFmtId="40" fontId="26" fillId="0" borderId="4" xfId="0" applyNumberFormat="1" applyFont="1" applyFill="1" applyBorder="1" applyAlignment="1">
      <alignment horizontal="right" vertical="top" wrapText="1"/>
    </xf>
    <xf numFmtId="40" fontId="19" fillId="0" borderId="8" xfId="1" applyNumberFormat="1" applyFont="1" applyFill="1" applyBorder="1" applyAlignment="1">
      <alignment horizontal="center" vertical="center" wrapText="1"/>
    </xf>
    <xf numFmtId="40" fontId="20" fillId="0" borderId="10" xfId="0" applyNumberFormat="1" applyFont="1" applyBorder="1" applyAlignment="1">
      <alignment horizontal="right" vertical="center" wrapText="1"/>
    </xf>
    <xf numFmtId="40" fontId="20" fillId="0" borderId="10" xfId="0" applyNumberFormat="1" applyFont="1" applyFill="1" applyBorder="1" applyAlignment="1">
      <alignment horizontal="right" vertical="top" wrapText="1"/>
    </xf>
    <xf numFmtId="40" fontId="27" fillId="0" borderId="0" xfId="0" applyNumberFormat="1" applyFont="1" applyBorder="1" applyAlignment="1">
      <alignment horizontal="left" vertical="top" wrapText="1"/>
    </xf>
    <xf numFmtId="14" fontId="20" fillId="0" borderId="0" xfId="0" applyNumberFormat="1" applyFont="1" applyBorder="1" applyAlignment="1">
      <alignment horizontal="center"/>
    </xf>
    <xf numFmtId="14" fontId="26" fillId="0" borderId="0" xfId="0" applyNumberFormat="1" applyFont="1" applyBorder="1" applyAlignment="1">
      <alignment horizontal="right" vertical="top" wrapText="1"/>
    </xf>
    <xf numFmtId="14" fontId="27" fillId="0" borderId="0" xfId="0" applyNumberFormat="1" applyFont="1" applyAlignment="1">
      <alignment horizontal="left" vertical="top" wrapText="1"/>
    </xf>
    <xf numFmtId="14" fontId="27" fillId="0" borderId="0" xfId="0" applyNumberFormat="1" applyFont="1" applyAlignment="1">
      <alignment horizontal="center" vertical="top" wrapText="1"/>
    </xf>
    <xf numFmtId="40" fontId="23" fillId="0" borderId="0" xfId="0" applyNumberFormat="1" applyFont="1" applyBorder="1" applyAlignment="1">
      <alignment horizontal="right" vertical="top" wrapText="1"/>
    </xf>
    <xf numFmtId="40" fontId="26" fillId="0" borderId="5" xfId="0" applyNumberFormat="1" applyFont="1" applyBorder="1" applyAlignment="1">
      <alignment horizontal="right" vertical="top" wrapText="1"/>
    </xf>
    <xf numFmtId="40" fontId="26" fillId="0" borderId="1" xfId="0" applyNumberFormat="1" applyFont="1" applyBorder="1" applyAlignment="1">
      <alignment horizontal="right" vertical="top" wrapText="1"/>
    </xf>
    <xf numFmtId="40" fontId="23" fillId="0" borderId="0" xfId="0" applyNumberFormat="1" applyFont="1" applyBorder="1" applyAlignment="1">
      <alignment vertical="top" wrapText="1"/>
    </xf>
    <xf numFmtId="14" fontId="20" fillId="0" borderId="0" xfId="0" applyNumberFormat="1" applyFont="1" applyAlignment="1">
      <alignment vertical="top" wrapText="1"/>
    </xf>
    <xf numFmtId="40" fontId="29" fillId="5" borderId="6" xfId="0" applyNumberFormat="1" applyFont="1" applyFill="1" applyBorder="1" applyAlignment="1">
      <alignment horizontal="center" vertical="center" wrapText="1"/>
    </xf>
    <xf numFmtId="43" fontId="30" fillId="0" borderId="0" xfId="3" applyFont="1"/>
    <xf numFmtId="14" fontId="20" fillId="0" borderId="0" xfId="0" applyNumberFormat="1" applyFont="1" applyFill="1" applyBorder="1" applyAlignment="1">
      <alignment horizontal="center" vertical="top" wrapText="1"/>
    </xf>
    <xf numFmtId="14" fontId="20" fillId="0" borderId="0" xfId="0" applyNumberFormat="1" applyFont="1" applyBorder="1" applyAlignment="1">
      <alignment horizontal="center" vertical="top" wrapText="1"/>
    </xf>
    <xf numFmtId="40" fontId="20" fillId="0" borderId="0" xfId="0" applyNumberFormat="1" applyFont="1" applyBorder="1" applyAlignment="1">
      <alignment horizontal="center" vertical="top" wrapText="1"/>
    </xf>
    <xf numFmtId="14" fontId="20" fillId="2" borderId="0" xfId="0" applyNumberFormat="1" applyFont="1" applyFill="1" applyBorder="1" applyAlignment="1">
      <alignment horizontal="center" vertical="top" wrapText="1"/>
    </xf>
    <xf numFmtId="40" fontId="18" fillId="0" borderId="0" xfId="0" applyNumberFormat="1" applyFont="1" applyBorder="1" applyAlignment="1">
      <alignment horizontal="center" vertical="top" wrapText="1"/>
    </xf>
    <xf numFmtId="0" fontId="24" fillId="0" borderId="0" xfId="0" applyFont="1" applyBorder="1" applyAlignment="1">
      <alignment horizontal="center" vertical="top" wrapText="1"/>
    </xf>
    <xf numFmtId="40" fontId="17" fillId="0" borderId="0" xfId="0" applyNumberFormat="1" applyFont="1" applyBorder="1" applyAlignment="1">
      <alignment horizontal="center" vertical="top" wrapText="1"/>
    </xf>
    <xf numFmtId="40" fontId="24" fillId="0" borderId="0" xfId="0" applyNumberFormat="1" applyFont="1" applyBorder="1" applyAlignment="1">
      <alignment horizontal="center" vertical="top" wrapText="1"/>
    </xf>
    <xf numFmtId="40" fontId="27" fillId="2" borderId="0" xfId="0" applyNumberFormat="1" applyFont="1" applyFill="1" applyBorder="1" applyAlignment="1">
      <alignment horizontal="center" vertical="top" wrapText="1"/>
    </xf>
    <xf numFmtId="40" fontId="27" fillId="0" borderId="0" xfId="0" applyNumberFormat="1" applyFont="1" applyAlignment="1">
      <alignment horizontal="left" vertical="top" wrapText="1"/>
    </xf>
    <xf numFmtId="0" fontId="20" fillId="0" borderId="0" xfId="0" applyFont="1" applyAlignment="1">
      <alignment vertical="top" wrapText="1"/>
    </xf>
    <xf numFmtId="0" fontId="20" fillId="0" borderId="0" xfId="0" applyFont="1" applyBorder="1" applyAlignment="1">
      <alignment horizontal="center" vertical="center" wrapText="1"/>
    </xf>
    <xf numFmtId="0" fontId="20" fillId="0" borderId="0" xfId="0" applyFont="1" applyBorder="1" applyAlignment="1">
      <alignment horizontal="center" vertical="top" wrapText="1"/>
    </xf>
    <xf numFmtId="40" fontId="20" fillId="0" borderId="1" xfId="0" applyNumberFormat="1" applyFont="1" applyFill="1" applyBorder="1" applyAlignment="1">
      <alignment vertical="top" wrapText="1"/>
    </xf>
    <xf numFmtId="40" fontId="27" fillId="0" borderId="0" xfId="0" applyNumberFormat="1" applyFont="1" applyBorder="1" applyAlignment="1">
      <alignment horizontal="center" vertical="top" wrapText="1"/>
    </xf>
    <xf numFmtId="40" fontId="27" fillId="0" borderId="0" xfId="0" applyNumberFormat="1" applyFont="1" applyAlignment="1">
      <alignment horizontal="center" vertical="top" wrapText="1"/>
    </xf>
    <xf numFmtId="40" fontId="20" fillId="0" borderId="20" xfId="0" applyNumberFormat="1" applyFont="1" applyFill="1" applyBorder="1" applyAlignment="1">
      <alignment vertical="top" wrapText="1"/>
    </xf>
    <xf numFmtId="40" fontId="20" fillId="0" borderId="10" xfId="0" applyNumberFormat="1" applyFont="1" applyFill="1" applyBorder="1" applyAlignment="1">
      <alignment vertical="top" wrapText="1"/>
    </xf>
    <xf numFmtId="40" fontId="27" fillId="0" borderId="6" xfId="0" applyNumberFormat="1" applyFont="1" applyFill="1" applyBorder="1" applyAlignment="1">
      <alignment horizontal="right" vertical="center"/>
    </xf>
    <xf numFmtId="40" fontId="20" fillId="0" borderId="1" xfId="0" applyNumberFormat="1" applyFont="1" applyFill="1" applyBorder="1" applyAlignment="1">
      <alignment vertical="top"/>
    </xf>
    <xf numFmtId="43" fontId="20" fillId="0" borderId="0" xfId="3" applyFont="1" applyBorder="1" applyAlignment="1">
      <alignment vertical="top"/>
    </xf>
    <xf numFmtId="43" fontId="20" fillId="0" borderId="0" xfId="3" applyFont="1" applyBorder="1" applyAlignment="1">
      <alignment horizontal="right" vertical="top"/>
    </xf>
    <xf numFmtId="40" fontId="20" fillId="0" borderId="0" xfId="0" applyNumberFormat="1" applyFont="1" applyBorder="1" applyAlignment="1">
      <alignment vertical="top"/>
    </xf>
    <xf numFmtId="40" fontId="20" fillId="0" borderId="5" xfId="0" applyNumberFormat="1" applyFont="1" applyBorder="1" applyAlignment="1">
      <alignment horizontal="right" vertical="top"/>
    </xf>
    <xf numFmtId="43" fontId="20" fillId="0" borderId="0" xfId="0" applyNumberFormat="1" applyFont="1" applyFill="1" applyBorder="1" applyAlignment="1">
      <alignment vertical="top"/>
    </xf>
    <xf numFmtId="40" fontId="20" fillId="0" borderId="1" xfId="0" applyNumberFormat="1" applyFont="1" applyBorder="1" applyAlignment="1">
      <alignment vertical="top"/>
    </xf>
    <xf numFmtId="43" fontId="20" fillId="0" borderId="0" xfId="0" applyNumberFormat="1" applyFont="1" applyBorder="1" applyAlignment="1">
      <alignment vertical="top"/>
    </xf>
    <xf numFmtId="40" fontId="27" fillId="0" borderId="0" xfId="0" applyNumberFormat="1" applyFont="1" applyBorder="1" applyAlignment="1">
      <alignment horizontal="right" vertical="top"/>
    </xf>
    <xf numFmtId="40" fontId="20" fillId="0" borderId="0" xfId="0" applyNumberFormat="1" applyFont="1" applyBorder="1" applyAlignment="1">
      <alignment horizontal="right" vertical="top"/>
    </xf>
    <xf numFmtId="40" fontId="27" fillId="0" borderId="0" xfId="0" applyNumberFormat="1" applyFont="1" applyAlignment="1">
      <alignment horizontal="right" vertical="top"/>
    </xf>
    <xf numFmtId="40" fontId="20" fillId="0" borderId="0" xfId="0" applyNumberFormat="1" applyFont="1" applyAlignment="1">
      <alignment horizontal="right" vertical="top"/>
    </xf>
    <xf numFmtId="40" fontId="20" fillId="0" borderId="1" xfId="0" applyNumberFormat="1" applyFont="1" applyBorder="1" applyAlignment="1">
      <alignment horizontal="right" vertical="top"/>
    </xf>
    <xf numFmtId="0" fontId="20" fillId="0" borderId="0" xfId="0" applyFont="1" applyBorder="1" applyAlignment="1">
      <alignment vertical="top"/>
    </xf>
    <xf numFmtId="40" fontId="26" fillId="0" borderId="20" xfId="0" applyNumberFormat="1" applyFont="1" applyFill="1" applyBorder="1" applyAlignment="1">
      <alignment horizontal="right" vertical="top" wrapText="1"/>
    </xf>
    <xf numFmtId="14" fontId="20" fillId="0" borderId="2" xfId="0" applyNumberFormat="1" applyFont="1" applyBorder="1" applyAlignment="1">
      <alignment vertical="top" wrapText="1"/>
    </xf>
    <xf numFmtId="14" fontId="20" fillId="0" borderId="2" xfId="0" applyNumberFormat="1" applyFont="1" applyFill="1" applyBorder="1" applyAlignment="1">
      <alignment vertical="top" wrapText="1"/>
    </xf>
    <xf numFmtId="14" fontId="26" fillId="0" borderId="2" xfId="0" applyNumberFormat="1" applyFont="1" applyBorder="1" applyAlignment="1">
      <alignment vertical="top" wrapText="1"/>
    </xf>
    <xf numFmtId="14" fontId="22" fillId="0" borderId="0" xfId="0" applyNumberFormat="1" applyFont="1" applyBorder="1" applyAlignment="1">
      <alignment horizontal="right" vertical="top"/>
    </xf>
    <xf numFmtId="14" fontId="26" fillId="0" borderId="0" xfId="0" applyNumberFormat="1" applyFont="1" applyBorder="1" applyAlignment="1">
      <alignment horizontal="right" vertical="top"/>
    </xf>
    <xf numFmtId="40" fontId="27" fillId="5" borderId="6" xfId="0" applyNumberFormat="1" applyFont="1" applyFill="1" applyBorder="1" applyAlignment="1">
      <alignment horizontal="right" vertical="center"/>
    </xf>
    <xf numFmtId="40" fontId="20" fillId="5" borderId="1" xfId="0" applyNumberFormat="1" applyFont="1" applyFill="1" applyBorder="1" applyAlignment="1">
      <alignment vertical="top"/>
    </xf>
    <xf numFmtId="43" fontId="31" fillId="0" borderId="11" xfId="3" applyFont="1" applyBorder="1"/>
    <xf numFmtId="43" fontId="31" fillId="0" borderId="6" xfId="3" applyFont="1" applyBorder="1"/>
    <xf numFmtId="43" fontId="31" fillId="0" borderId="7" xfId="3" applyFont="1" applyBorder="1"/>
    <xf numFmtId="40" fontId="20" fillId="0" borderId="0" xfId="0" applyNumberFormat="1" applyFont="1" applyAlignment="1">
      <alignment vertical="top" wrapText="1"/>
    </xf>
    <xf numFmtId="43" fontId="20" fillId="0" borderId="0" xfId="3" applyFont="1" applyAlignment="1">
      <alignment vertical="top"/>
    </xf>
    <xf numFmtId="43" fontId="20" fillId="0" borderId="0" xfId="3" applyFont="1" applyAlignment="1">
      <alignment horizontal="right" vertical="top"/>
    </xf>
    <xf numFmtId="40" fontId="20" fillId="0" borderId="0" xfId="0" applyNumberFormat="1" applyFont="1" applyAlignment="1">
      <alignment vertical="top"/>
    </xf>
    <xf numFmtId="0" fontId="32" fillId="0" borderId="0" xfId="0" applyFont="1" applyAlignment="1">
      <alignment vertical="top" wrapText="1"/>
    </xf>
    <xf numFmtId="40" fontId="33" fillId="0" borderId="0" xfId="0" applyNumberFormat="1" applyFont="1" applyAlignment="1">
      <alignment horizontal="left" vertical="top" wrapText="1"/>
    </xf>
    <xf numFmtId="40" fontId="33" fillId="0" borderId="0" xfId="0" applyNumberFormat="1" applyFont="1" applyAlignment="1">
      <alignment horizontal="center" vertical="top" wrapText="1"/>
    </xf>
    <xf numFmtId="14" fontId="33" fillId="0" borderId="0" xfId="0" applyNumberFormat="1" applyFont="1" applyAlignment="1">
      <alignment horizontal="left" vertical="top" wrapText="1"/>
    </xf>
    <xf numFmtId="14" fontId="33" fillId="0" borderId="0" xfId="0" applyNumberFormat="1" applyFont="1" applyAlignment="1">
      <alignment horizontal="center" vertical="top" wrapText="1"/>
    </xf>
    <xf numFmtId="40" fontId="33" fillId="0" borderId="0" xfId="0" applyNumberFormat="1" applyFont="1" applyAlignment="1">
      <alignment horizontal="right" vertical="top"/>
    </xf>
    <xf numFmtId="40" fontId="32" fillId="0" borderId="0" xfId="0" applyNumberFormat="1" applyFont="1" applyAlignment="1">
      <alignment horizontal="right" vertical="top"/>
    </xf>
    <xf numFmtId="40" fontId="23" fillId="0" borderId="12" xfId="0" applyNumberFormat="1" applyFont="1" applyBorder="1" applyAlignment="1">
      <alignment horizontal="center" vertical="top" wrapText="1"/>
    </xf>
    <xf numFmtId="0" fontId="5" fillId="0" borderId="0" xfId="0" applyFont="1" applyAlignment="1">
      <alignment horizontal="left" vertical="top" wrapText="1"/>
    </xf>
    <xf numFmtId="0" fontId="28" fillId="0" borderId="0" xfId="0" applyFont="1" applyAlignment="1">
      <alignment horizontal="left" vertical="top" wrapText="1"/>
    </xf>
    <xf numFmtId="0" fontId="14" fillId="0" borderId="0" xfId="0" applyFont="1" applyAlignment="1">
      <alignment horizontal="left" vertical="top" wrapText="1"/>
    </xf>
    <xf numFmtId="40" fontId="16" fillId="0" borderId="13" xfId="0" applyNumberFormat="1" applyFont="1" applyBorder="1" applyAlignment="1">
      <alignment horizontal="center" vertical="center" wrapText="1"/>
    </xf>
    <xf numFmtId="14" fontId="16" fillId="0" borderId="7" xfId="0" applyNumberFormat="1" applyFont="1" applyBorder="1" applyAlignment="1">
      <alignment horizontal="center" vertical="top" wrapText="1"/>
    </xf>
    <xf numFmtId="14" fontId="16" fillId="0" borderId="13" xfId="0" applyNumberFormat="1" applyFont="1" applyBorder="1" applyAlignment="1">
      <alignment horizontal="center" vertical="top" wrapText="1"/>
    </xf>
    <xf numFmtId="14" fontId="16" fillId="0" borderId="11" xfId="0" applyNumberFormat="1" applyFont="1" applyBorder="1" applyAlignment="1">
      <alignment horizontal="center" vertical="top" wrapText="1"/>
    </xf>
    <xf numFmtId="40" fontId="29" fillId="4" borderId="17" xfId="1" applyNumberFormat="1" applyFont="1" applyFill="1" applyBorder="1" applyAlignment="1">
      <alignment horizontal="center" vertical="center" wrapText="1"/>
    </xf>
    <xf numFmtId="40" fontId="29" fillId="4" borderId="18" xfId="1" applyNumberFormat="1" applyFont="1" applyFill="1" applyBorder="1" applyAlignment="1">
      <alignment horizontal="center" vertical="center" wrapText="1"/>
    </xf>
    <xf numFmtId="40" fontId="29" fillId="4" borderId="19" xfId="1" applyNumberFormat="1" applyFont="1" applyFill="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xf>
    <xf numFmtId="0" fontId="6" fillId="0" borderId="0" xfId="0" applyFont="1" applyAlignment="1">
      <alignment horizontal="left" vertical="top" wrapText="1"/>
    </xf>
    <xf numFmtId="0" fontId="2" fillId="0" borderId="0" xfId="0" applyFont="1" applyAlignment="1">
      <alignment horizontal="left" vertical="top" wrapText="1"/>
    </xf>
    <xf numFmtId="0" fontId="9" fillId="3" borderId="0" xfId="2" applyFont="1" applyFill="1" applyBorder="1" applyAlignment="1">
      <alignment horizontal="left" vertical="top" wrapText="1"/>
    </xf>
    <xf numFmtId="0" fontId="9" fillId="0" borderId="0" xfId="2" applyFont="1" applyFill="1" applyBorder="1"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14" fontId="0" fillId="0" borderId="0" xfId="0" applyNumberFormat="1" applyAlignment="1">
      <alignment horizontal="left" vertical="center" wrapText="1"/>
    </xf>
  </cellXfs>
  <cellStyles count="4">
    <cellStyle name="Comma" xfId="3" builtinId="3"/>
    <cellStyle name="Currency" xfId="1" builtinId="4"/>
    <cellStyle name="Normal" xfId="0" builtinId="0"/>
    <cellStyle name="Normal_Notes" xfId="2"/>
  </cellStyles>
  <dxfs count="105">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right style="thin">
          <color indexed="64"/>
        </right>
        <top style="thin">
          <color indexed="64"/>
        </top>
        <bottom style="thin">
          <color indexed="64"/>
        </bottom>
        <vertical/>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numFmt numFmtId="164" formatCode="mm/dd/yy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yy"/>
      <alignment horizontal="center" vertical="top" textRotation="0" wrapText="1" indent="0" justifyLastLine="0" shrinkToFit="0" readingOrder="0"/>
    </dxf>
    <dxf>
      <font>
        <strike val="0"/>
        <outline val="0"/>
        <shadow val="0"/>
        <u val="none"/>
        <vertAlign val="baseline"/>
        <sz val="9"/>
        <name val="Arial Unicode MS"/>
        <scheme val="none"/>
      </font>
    </dxf>
    <dxf>
      <font>
        <strike val="0"/>
        <outline val="0"/>
        <shadow val="0"/>
        <u val="none"/>
        <vertAlign val="baseline"/>
        <sz val="9"/>
        <name val="Arial Unicode MS"/>
        <scheme val="none"/>
      </font>
      <numFmt numFmtId="8" formatCode="#,##0.00_);[Red]\(#,##0.00\)"/>
    </dxf>
    <dxf>
      <font>
        <strike val="0"/>
        <outline val="0"/>
        <shadow val="0"/>
        <u val="none"/>
        <vertAlign val="baseline"/>
        <sz val="9"/>
        <name val="Arial Unicode MS"/>
        <scheme val="none"/>
      </font>
      <numFmt numFmtId="8" formatCode="#,##0.00_);[Red]\(#,##0.00\)"/>
    </dxf>
    <dxf>
      <font>
        <strike val="0"/>
        <outline val="0"/>
        <shadow val="0"/>
        <u val="none"/>
        <vertAlign val="baseline"/>
        <sz val="9"/>
        <name val="Arial Unicode MS"/>
        <scheme val="none"/>
      </font>
      <numFmt numFmtId="8" formatCode="#,##0.00_);[Red]\(#,##0.0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dxf>
    <dxf>
      <font>
        <strike val="0"/>
        <outline val="0"/>
        <shadow val="0"/>
        <u val="none"/>
        <vertAlign val="baseline"/>
        <sz val="9"/>
        <name val="Arial Unicode MS"/>
        <scheme val="none"/>
      </font>
      <numFmt numFmtId="8" formatCode="#,##0.00_);[Red]\(#,##0.00\)"/>
    </dxf>
    <dxf>
      <font>
        <strike val="0"/>
        <outline val="0"/>
        <shadow val="0"/>
        <u val="none"/>
        <vertAlign val="baseline"/>
        <sz val="9"/>
        <name val="Arial Unicode MS"/>
        <scheme val="none"/>
      </font>
      <numFmt numFmtId="164" formatCode="mm/dd/yyyy"/>
      <alignment horizontal="general"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FFFCC"/>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04"/>
      <tableStyleElement type="firstRowStripe" dxfId="103"/>
    </tableStyle>
    <tableStyle name="Table Style 2" pivot="0" count="1">
      <tableStyleElement type="firstRowStripe" dxfId="102"/>
    </tableStyle>
    <tableStyle name="Table Style 3" pivot="0" count="1">
      <tableStyleElement type="firstRowStripe" dxfId="101"/>
    </tableStyle>
    <tableStyle name="Table Style 4" pivot="0" count="3">
      <tableStyleElement type="wholeTable" dxfId="100"/>
      <tableStyleElement type="headerRow" dxfId="99"/>
      <tableStyleElement type="firstRowStripe" dxfId="98"/>
    </tableStyle>
  </tableStyles>
  <colors>
    <mruColors>
      <color rgb="FFFFFFCC"/>
      <color rgb="FFDBB7FF"/>
      <color rgb="FFD9D9D9"/>
      <color rgb="FFC5D9F1"/>
      <color rgb="FFFABF8F"/>
      <color rgb="FFF2DCDB"/>
      <color rgb="FFACEAAC"/>
      <color rgb="FFC9FFF5"/>
      <color rgb="FFFFCCFF"/>
      <color rgb="FFDDD9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0" unboundColumnsRight="2">
    <queryTableFields count="19">
      <queryTableField id="1" name="ADOT#" tableColumnId="1"/>
      <queryTableField id="2" name="TIP#" tableColumnId="2"/>
      <queryTableField id="3" name="Sponsor" tableColumnId="3"/>
      <queryTableField id="4" name="Action/15" tableColumnId="4"/>
      <queryTableField id="5" name="Location" tableColumnId="5"/>
      <queryTableField id="17" dataBound="0" tableColumnId="17"/>
      <queryTableField id="6" name="RTE" tableColumnId="6"/>
      <queryTableField id="7" name="SEC" tableColumnId="7"/>
      <queryTableField id="8" name="SEQ" tableColumnId="8"/>
      <queryTableField id="9" name="PB Expected" tableColumnId="9"/>
      <queryTableField id="10" name="PB Received" tableColumnId="10"/>
      <queryTableField id="11" name="PF Transmitted" tableColumnId="11"/>
      <queryTableField id="12" name="Finance Authorization" tableColumnId="12"/>
      <queryTableField id="13" name="HSIP" tableColumnId="13"/>
      <queryTableField id="14" name="PL" tableColumnId="14"/>
      <queryTableField id="15" name="SPR" tableColumnId="15"/>
      <queryTableField id="16" name="STP OTHER" tableColumnId="16"/>
      <queryTableField id="18" dataBound="0" tableColumnId="18"/>
      <queryTableField id="19" dataBound="0" tableColumnId="19"/>
    </queryTableFields>
  </queryTableRefresh>
</queryTable>
</file>

<file path=xl/queryTables/queryTable2.xml><?xml version="1.0" encoding="utf-8"?>
<queryTable xmlns="http://schemas.openxmlformats.org/spreadsheetml/2006/main" name="Query from MS Access Database_1" growShrinkType="insertClear" adjustColumnWidth="0" connectionId="4" autoFormatId="16" applyNumberFormats="0" applyBorderFormats="0" applyFontFormats="0" applyPatternFormats="0" applyAlignmentFormats="0" applyWidthHeightFormats="0">
  <queryTableRefresh nextId="20" unboundColumnsRight="2">
    <queryTableFields count="19">
      <queryTableField id="1" name="ADOT#" tableColumnId="1"/>
      <queryTableField id="2" name="TIP#" tableColumnId="2"/>
      <queryTableField id="3" name="Sponsor" tableColumnId="3"/>
      <queryTableField id="4" name="Action/15" tableColumnId="4"/>
      <queryTableField id="5" name="Location" tableColumnId="5"/>
      <queryTableField id="17" dataBound="0" tableColumnId="17"/>
      <queryTableField id="6" name="RTE" tableColumnId="6"/>
      <queryTableField id="7" name="SEC" tableColumnId="7"/>
      <queryTableField id="8" name="SEQ" tableColumnId="8"/>
      <queryTableField id="9" name="PB Expected" tableColumnId="9"/>
      <queryTableField id="10" name="PB Received" tableColumnId="10"/>
      <queryTableField id="11" name="PF Transmitted" tableColumnId="11"/>
      <queryTableField id="12" name="Finance Authorization" tableColumnId="12"/>
      <queryTableField id="13" name="HSIP" tableColumnId="13"/>
      <queryTableField id="14" name="PL" tableColumnId="14"/>
      <queryTableField id="15" name="SPR" tableColumnId="15"/>
      <queryTableField id="16" name="STP OTHER" tableColumnId="16"/>
      <queryTableField id="18" dataBound="0" tableColumnId="18"/>
      <queryTableField id="19" dataBound="0" tableColumnId="19"/>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3">
    <queryTableFields count="18">
      <queryTableField id="1" name="Transaction Year" tableColumnId="1"/>
      <queryTableField id="2" name="Transaction Type" tableColumnId="2"/>
      <queryTableField id="3" name="Number" tableColumnId="3"/>
      <queryTableField id="6" name="Repayment Year" tableColumnId="6"/>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 id="19" name="From" tableColumnId="4"/>
      <queryTableField id="20" name="To" tableColumnId="5"/>
      <queryTableField id="21" name="Project8" tableColumnId="7"/>
      <queryTableField id="22" name="Notes" tableColumnId="8"/>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7">
    <queryTableFields count="18">
      <queryTableField id="1" name="Transaction Year" tableColumnId="1"/>
      <queryTableField id="2" name="Transaction Type" tableColumnId="2"/>
      <queryTableField id="3" name="Number" tableColumnId="3"/>
      <queryTableField id="6" name="Repayment Year" tableColumnId="6"/>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 id="23" name="From" tableColumnId="43"/>
      <queryTableField id="24" name="To" tableColumnId="44"/>
      <queryTableField id="25" name="Project8" tableColumnId="45"/>
      <queryTableField id="26" name="Notes" tableColumnId="46"/>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S12" totalsRowShown="0" headerRowDxfId="97" dataDxfId="95" headerRowBorderDxfId="96" tableBorderDxfId="94" totalsRowBorderDxfId="93" headerRowCellStyle="Currency">
  <autoFilter ref="M3:S12"/>
  <tableColumns count="7">
    <tableColumn id="1" name="Description" dataDxfId="92"/>
    <tableColumn id="4" name="HSIP/3" dataDxfId="91"/>
    <tableColumn id="2" name="PL" dataDxfId="90"/>
    <tableColumn id="5" name="SPR /4" dataDxfId="89"/>
    <tableColumn id="6" name="STP other" dataDxfId="88"/>
    <tableColumn id="7" name="Total" dataDxfId="87"/>
    <tableColumn id="8" name="FFY OBLIGATION AUTHORITY /2" dataDxfId="86"/>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S28" tableType="queryTable" totalsRowShown="0" headerRowDxfId="85" dataDxfId="84" tableBorderDxfId="83">
  <autoFilter ref="A15:S28"/>
  <tableColumns count="19">
    <tableColumn id="1" uniqueName="1" name="ADOT#" queryTableFieldId="1" dataDxfId="82"/>
    <tableColumn id="2" uniqueName="2" name="TIP#" queryTableFieldId="2" dataDxfId="81"/>
    <tableColumn id="3" uniqueName="3" name="Sponsor" queryTableFieldId="3" dataDxfId="80"/>
    <tableColumn id="4" uniqueName="4" name="Action/15" queryTableFieldId="4" dataDxfId="79"/>
    <tableColumn id="5" uniqueName="5" name="Location" queryTableFieldId="5" dataDxfId="78"/>
    <tableColumn id="17" uniqueName="17" name="FED #" queryTableFieldId="17" dataDxfId="77">
      <calculatedColumnFormula>CONCATENATE(Table_Query_from_MS_Access_Database8[[#This Row],[RTE]],Table_Query_from_MS_Access_Database8[[#This Row],[SEC]],Table_Query_from_MS_Access_Database8[[#This Row],[SEQ]])</calculatedColumnFormula>
    </tableColumn>
    <tableColumn id="6" uniqueName="6" name="RTE" queryTableFieldId="6" dataDxfId="76"/>
    <tableColumn id="7" uniqueName="7" name="SEC" queryTableFieldId="7" dataDxfId="75"/>
    <tableColumn id="8" uniqueName="8" name="SEQ" queryTableFieldId="8" dataDxfId="74"/>
    <tableColumn id="9" uniqueName="9" name="PB Expected" queryTableFieldId="9" dataDxfId="73"/>
    <tableColumn id="10" uniqueName="10" name="PB Received" queryTableFieldId="10" dataDxfId="72"/>
    <tableColumn id="11" uniqueName="11" name="PF Transmitted" queryTableFieldId="11" dataDxfId="71"/>
    <tableColumn id="12" uniqueName="12" name="Finance Authorization" queryTableFieldId="12" dataDxfId="70"/>
    <tableColumn id="13" uniqueName="13" name="HSIP" queryTableFieldId="13" dataDxfId="69"/>
    <tableColumn id="14" uniqueName="14" name="PL" queryTableFieldId="14" dataDxfId="68"/>
    <tableColumn id="15" uniqueName="15" name="SPR" queryTableFieldId="15" dataDxfId="67"/>
    <tableColumn id="16" uniqueName="16" name="STP OTHER" queryTableFieldId="16" dataDxfId="66"/>
    <tableColumn id="18" uniqueName="18" name="TOTAL OF AMOUNT" queryTableFieldId="18" dataDxfId="65">
      <calculatedColumnFormula>+Table_Query_from_MS_Access_Database8[[#This Row],[HSIP]]+Table_Query_from_MS_Access_Database8[[#This Row],[PL]]+Table_Query_from_MS_Access_Database8[[#This Row],[SPR]]+Table_Query_from_MS_Access_Database8[[#This Row],[STP OTHER]]</calculatedColumnFormula>
    </tableColumn>
    <tableColumn id="19" uniqueName="19" name="DECLINING BALANCE OA" queryTableFieldId="19" dataDxfId="64">
      <calculatedColumnFormula>+S12-Table_Query_from_MS_Access_Database8[TOTAL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34:S35" tableType="queryTable" totalsRowShown="0" headerRowDxfId="63" dataDxfId="62">
  <autoFilter ref="A34:S35"/>
  <tableColumns count="19">
    <tableColumn id="1" uniqueName="1" name="ADOT#" queryTableFieldId="1" dataDxfId="61"/>
    <tableColumn id="2" uniqueName="2" name="TIP#" queryTableFieldId="2" dataDxfId="60"/>
    <tableColumn id="3" uniqueName="3" name="Sponsor" queryTableFieldId="3" dataDxfId="59"/>
    <tableColumn id="4" uniqueName="4" name="Action/15" queryTableFieldId="4" dataDxfId="58"/>
    <tableColumn id="5" uniqueName="5" name="Location" queryTableFieldId="5" dataDxfId="57"/>
    <tableColumn id="17" uniqueName="17" name="FED #" queryTableFieldId="17" dataDxfId="56">
      <calculatedColumnFormula>CONCATENATE(Table_Query_from_MS_Access_Database_1[[#This Row],[RTE]],Table_Query_from_MS_Access_Database_1[[#This Row],[SEC]],Table_Query_from_MS_Access_Database_1[[#This Row],[SEQ]])</calculatedColumnFormula>
    </tableColumn>
    <tableColumn id="6" uniqueName="6" name="RTE" queryTableFieldId="6" dataDxfId="55"/>
    <tableColumn id="7" uniqueName="7" name="SEC" queryTableFieldId="7" dataDxfId="54"/>
    <tableColumn id="8" uniqueName="8" name="SEQ" queryTableFieldId="8" dataDxfId="53"/>
    <tableColumn id="9" uniqueName="9" name="PB Expected" queryTableFieldId="9" dataDxfId="52"/>
    <tableColumn id="10" uniqueName="10" name="PB Received" queryTableFieldId="10" dataDxfId="51"/>
    <tableColumn id="11" uniqueName="11" name="PF Transmitted" queryTableFieldId="11" dataDxfId="50"/>
    <tableColumn id="12" uniqueName="12" name="Finance Authorization" queryTableFieldId="12" dataDxfId="49"/>
    <tableColumn id="13" uniqueName="13" name="HSIP" queryTableFieldId="13" dataDxfId="48" dataCellStyle="Comma"/>
    <tableColumn id="14" uniqueName="14" name="PL" queryTableFieldId="14" dataDxfId="47" dataCellStyle="Comma"/>
    <tableColumn id="15" uniqueName="15" name="SPR" queryTableFieldId="15" dataDxfId="46" dataCellStyle="Comma"/>
    <tableColumn id="16" uniqueName="16" name="STP OTHER" queryTableFieldId="16" dataDxfId="45" dataCellStyle="Comma"/>
    <tableColumn id="18" uniqueName="18" name="TOTAL OF AMOUNT" queryTableFieldId="18" dataDxfId="44" dataCellStyle="Comma">
      <calculatedColumnFormula>+SUM(Table_Query_from_MS_Access_Database_1[[#This Row],[HSIP]:[STP OTHER]])</calculatedColumnFormula>
    </tableColumn>
    <tableColumn id="19" uniqueName="19" name="EXPECTED DECLINING BALANCE OA" queryTableFieldId="19" dataDxfId="43">
      <calculatedColumnFormula>S28-Table_Query_from_MS_Access_Database_1[TOTAL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R15" tableType="queryTable" totalsRowShown="0" headerRowDxfId="42" headerRowBorderDxfId="41" tableBorderDxfId="40" totalsRowBorderDxfId="39" headerRowCellStyle="Comma" dataCellStyle="Comma">
  <autoFilter ref="A11:R15"/>
  <tableColumns count="18">
    <tableColumn id="1" uniqueName="1" name="Transaction Year" queryTableFieldId="1" dataDxfId="38" dataCellStyle="Comma"/>
    <tableColumn id="2" uniqueName="2" name="Transaction Type" queryTableFieldId="2" dataDxfId="37" dataCellStyle="Comma"/>
    <tableColumn id="3" uniqueName="3" name="Number" queryTableFieldId="3" dataDxfId="36" dataCellStyle="Comma"/>
    <tableColumn id="6" uniqueName="6" name="Repayment Year" queryTableFieldId="6" dataDxfId="35" dataCellStyle="Comma"/>
    <tableColumn id="9" uniqueName="9" name="Total" queryTableFieldId="9" dataDxfId="34" dataCellStyle="Comma"/>
    <tableColumn id="10" uniqueName="10" name="CMAQ" queryTableFieldId="10" dataDxfId="33" dataCellStyle="Comma"/>
    <tableColumn id="11" uniqueName="11" name="CMAQ 2_5" queryTableFieldId="11" dataDxfId="32" dataCellStyle="Comma"/>
    <tableColumn id="12" uniqueName="12" name="HSIP" queryTableFieldId="12" dataDxfId="31" dataCellStyle="Comma"/>
    <tableColumn id="13" uniqueName="13" name="PL" queryTableFieldId="13" dataDxfId="30" dataCellStyle="Comma"/>
    <tableColumn id="14" uniqueName="14" name="SPR" queryTableFieldId="14" dataDxfId="29" dataCellStyle="Comma"/>
    <tableColumn id="15" uniqueName="15" name="STP other" queryTableFieldId="15" dataDxfId="28" dataCellStyle="Comma"/>
    <tableColumn id="16" uniqueName="16" name="STP over 200K" queryTableFieldId="16" dataDxfId="27" dataCellStyle="Comma"/>
    <tableColumn id="17" uniqueName="17" name="TA other" queryTableFieldId="17" dataDxfId="26" dataCellStyle="Comma"/>
    <tableColumn id="18" uniqueName="18" name="TA over 200K" queryTableFieldId="18" dataDxfId="25" dataCellStyle="Comma"/>
    <tableColumn id="4" uniqueName="4" name="From" queryTableFieldId="19" dataDxfId="24" dataCellStyle="Comma"/>
    <tableColumn id="5" uniqueName="5" name="To" queryTableFieldId="20" dataDxfId="23" dataCellStyle="Comma"/>
    <tableColumn id="7" uniqueName="7" name="Project8" queryTableFieldId="21" dataDxfId="22" dataCellStyle="Comma"/>
    <tableColumn id="8" uniqueName="8" name="Notes" queryTableFieldId="22" dataDxfId="21"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20:R23" tableType="queryTable" totalsRowShown="0" headerRowDxfId="20" dataDxfId="19" tableBorderDxfId="18" headerRowCellStyle="Comma" dataCellStyle="Comma">
  <autoFilter ref="A20:R23"/>
  <tableColumns count="18">
    <tableColumn id="1" uniqueName="1" name="Transaction Year" queryTableFieldId="1" dataDxfId="17" dataCellStyle="Comma"/>
    <tableColumn id="2" uniqueName="2" name="Transaction Type" queryTableFieldId="2" dataDxfId="16" dataCellStyle="Comma"/>
    <tableColumn id="3" uniqueName="3" name="Number" queryTableFieldId="3" dataDxfId="15" dataCellStyle="Comma"/>
    <tableColumn id="6" uniqueName="6" name="Repayment Year" queryTableFieldId="6" dataDxfId="14" dataCellStyle="Comma"/>
    <tableColumn id="9" uniqueName="9" name="Total" queryTableFieldId="9" dataDxfId="13" dataCellStyle="Comma"/>
    <tableColumn id="10" uniqueName="10" name="CMAQ" queryTableFieldId="10" dataDxfId="12" dataCellStyle="Comma"/>
    <tableColumn id="11" uniqueName="11" name="CMAQ 2_5" queryTableFieldId="11" dataDxfId="11" dataCellStyle="Comma"/>
    <tableColumn id="12" uniqueName="12" name="HSIP" queryTableFieldId="12" dataDxfId="10" dataCellStyle="Comma"/>
    <tableColumn id="13" uniqueName="13" name="PL" queryTableFieldId="13" dataDxfId="9" dataCellStyle="Comma"/>
    <tableColumn id="14" uniqueName="14" name="SPR" queryTableFieldId="14" dataDxfId="8" dataCellStyle="Comma"/>
    <tableColumn id="15" uniqueName="15" name="STP other" queryTableFieldId="15" dataDxfId="7" dataCellStyle="Comma"/>
    <tableColumn id="16" uniqueName="16" name="STP over 200K" queryTableFieldId="16" dataDxfId="6" dataCellStyle="Comma"/>
    <tableColumn id="17" uniqueName="17" name="TA other" queryTableFieldId="17" dataDxfId="5" dataCellStyle="Comma"/>
    <tableColumn id="18" uniqueName="18" name="TA over 200K" queryTableFieldId="18" dataDxfId="4" dataCellStyle="Comma"/>
    <tableColumn id="43" uniqueName="43" name="From" queryTableFieldId="23" dataDxfId="3" dataCellStyle="Comma"/>
    <tableColumn id="44" uniqueName="44" name="To" queryTableFieldId="24" dataDxfId="2" dataCellStyle="Comma"/>
    <tableColumn id="45" uniqueName="45" name="Project8" queryTableFieldId="25" dataDxfId="1" dataCellStyle="Comma"/>
    <tableColumn id="46" uniqueName="46" name="Notes" queryTableFieldId="26" dataDxfId="0"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49"/>
  <sheetViews>
    <sheetView tabSelected="1" zoomScale="90" zoomScaleNormal="90" zoomScaleSheetLayoutView="75" workbookViewId="0">
      <selection sqref="A1:F1"/>
    </sheetView>
  </sheetViews>
  <sheetFormatPr defaultColWidth="17" defaultRowHeight="15.6" x14ac:dyDescent="0.3"/>
  <cols>
    <col min="1" max="1" width="12.77734375" style="33" customWidth="1"/>
    <col min="2" max="4" width="15.77734375" style="33" customWidth="1"/>
    <col min="5" max="5" width="40.77734375" style="33" customWidth="1"/>
    <col min="6" max="6" width="11.77734375" style="33" customWidth="1"/>
    <col min="7" max="7" width="14.109375" style="33" hidden="1" customWidth="1"/>
    <col min="8" max="9" width="14.44140625" style="33" hidden="1" customWidth="1"/>
    <col min="10" max="12" width="15.77734375" style="33" customWidth="1"/>
    <col min="13" max="13" width="23.77734375" style="33" customWidth="1"/>
    <col min="14" max="18" width="14.77734375" style="36" customWidth="1"/>
    <col min="19" max="19" width="18.77734375" style="36" customWidth="1"/>
    <col min="20" max="20" width="4.33203125" style="36" bestFit="1" customWidth="1"/>
    <col min="21" max="16384" width="17" style="33"/>
  </cols>
  <sheetData>
    <row r="1" spans="1:20" ht="24" thickBot="1" x14ac:dyDescent="0.35">
      <c r="A1" s="153" t="s">
        <v>111</v>
      </c>
      <c r="B1" s="153"/>
      <c r="C1" s="153"/>
      <c r="D1" s="153"/>
      <c r="E1" s="153"/>
      <c r="F1" s="153"/>
      <c r="J1" s="34"/>
      <c r="K1" s="35"/>
      <c r="L1" s="34"/>
      <c r="M1" s="59"/>
      <c r="N1" s="156" t="s">
        <v>94</v>
      </c>
      <c r="O1" s="156"/>
      <c r="P1" s="156"/>
      <c r="Q1" s="156"/>
      <c r="R1" s="156"/>
      <c r="S1" s="156"/>
      <c r="T1" s="60"/>
    </row>
    <row r="2" spans="1:20" ht="16.2" thickBot="1" x14ac:dyDescent="0.35">
      <c r="J2" s="34"/>
      <c r="K2" s="34"/>
      <c r="L2" s="34"/>
      <c r="M2" s="59"/>
      <c r="N2" s="160" t="s">
        <v>12</v>
      </c>
      <c r="O2" s="161"/>
      <c r="P2" s="161"/>
      <c r="Q2" s="161"/>
      <c r="R2" s="162"/>
      <c r="S2" s="60"/>
      <c r="T2" s="60"/>
    </row>
    <row r="3" spans="1:20" ht="26.4" x14ac:dyDescent="0.3">
      <c r="A3" s="172" t="s">
        <v>179</v>
      </c>
      <c r="B3" s="172"/>
      <c r="C3" s="172"/>
      <c r="D3" s="38"/>
      <c r="E3" s="38"/>
      <c r="F3" s="38"/>
      <c r="G3" s="38"/>
      <c r="J3" s="34"/>
      <c r="K3" s="34"/>
      <c r="L3" s="34"/>
      <c r="M3" s="73" t="s">
        <v>11</v>
      </c>
      <c r="N3" s="74" t="s">
        <v>73</v>
      </c>
      <c r="O3" s="82" t="s">
        <v>45</v>
      </c>
      <c r="P3" s="75" t="s">
        <v>63</v>
      </c>
      <c r="Q3" s="75" t="s">
        <v>6</v>
      </c>
      <c r="R3" s="76" t="s">
        <v>10</v>
      </c>
      <c r="S3" s="39" t="s">
        <v>15</v>
      </c>
      <c r="T3" s="37"/>
    </row>
    <row r="4" spans="1:20" ht="26.4" x14ac:dyDescent="0.3">
      <c r="A4" s="172"/>
      <c r="B4" s="172"/>
      <c r="C4" s="172"/>
      <c r="E4" s="40"/>
      <c r="F4" s="40"/>
      <c r="G4" s="40"/>
      <c r="J4" s="34"/>
      <c r="K4" s="34"/>
      <c r="L4" s="34"/>
      <c r="M4" s="131" t="s">
        <v>164</v>
      </c>
      <c r="N4" s="41">
        <v>0</v>
      </c>
      <c r="O4" s="83">
        <v>6429</v>
      </c>
      <c r="P4" s="42">
        <v>0</v>
      </c>
      <c r="Q4" s="43">
        <v>0</v>
      </c>
      <c r="R4" s="46">
        <f>+SUM(Table1[[#This Row],[HSIP/3]:[STP other]])</f>
        <v>6429</v>
      </c>
      <c r="S4" s="41">
        <f>+Table1[[#This Row],[PL]]*0.94875273887</f>
        <v>6099.5313581952296</v>
      </c>
      <c r="T4" s="37"/>
    </row>
    <row r="5" spans="1:20" ht="26.4" x14ac:dyDescent="0.3">
      <c r="A5" s="178" t="s">
        <v>180</v>
      </c>
      <c r="B5" s="178"/>
      <c r="C5" s="178"/>
      <c r="J5" s="34"/>
      <c r="K5" s="34"/>
      <c r="L5" s="34"/>
      <c r="M5" s="132" t="s">
        <v>165</v>
      </c>
      <c r="N5" s="44">
        <v>519767</v>
      </c>
      <c r="O5" s="84">
        <v>110675</v>
      </c>
      <c r="P5" s="45">
        <v>156250</v>
      </c>
      <c r="Q5" s="45">
        <v>612920</v>
      </c>
      <c r="R5" s="46">
        <f>+SUM(Table1[[#This Row],[HSIP/3]:[STP other]])</f>
        <v>1399612</v>
      </c>
      <c r="S5" s="44">
        <f>+Table1[[#This Row],[Total]]*0.94875273887</f>
        <v>1327885.7183553185</v>
      </c>
      <c r="T5" s="47" t="s">
        <v>75</v>
      </c>
    </row>
    <row r="6" spans="1:20" x14ac:dyDescent="0.3">
      <c r="J6" s="34"/>
      <c r="K6" s="34"/>
      <c r="L6" s="34"/>
      <c r="M6" s="132" t="s">
        <v>83</v>
      </c>
      <c r="N6" s="113">
        <f>SUMIFS(Table_Query_from_MS_Access_Database[[#All],[HSIP]],Table_Query_from_MS_Access_Database[[#All],[Transaction Year]],"2014",Table_Query_from_MS_Access_Database[[#All],[Transaction Type]],"loan in")</f>
        <v>127122</v>
      </c>
      <c r="O6" s="110">
        <f>SUMIFS(Table_Query_from_MS_Access_Database[[#All],[PL]],Table_Query_from_MS_Access_Database[[#All],[Transaction Year]],"2014",Table_Query_from_MS_Access_Database[[#All],[Transaction Type]],"loan in")</f>
        <v>0</v>
      </c>
      <c r="P6" s="110">
        <f>SUMIFS(Table_Query_from_MS_Access_Database[[#All],[SPR]],Table_Query_from_MS_Access_Database[[#All],[Transaction Year]],"2014",Table_Query_from_MS_Access_Database[[#All],[Transaction Type]],"loan in")</f>
        <v>0</v>
      </c>
      <c r="Q6" s="114">
        <f>SUMIFS(Table_Query_from_MS_Access_Database[[#All],[STP other]],Table_Query_from_MS_Access_Database[[#All],[Transaction Year]],"2014",Table_Query_from_MS_Access_Database[[#All],[Transaction Type]],"loan in")</f>
        <v>0</v>
      </c>
      <c r="R6" s="46">
        <f t="shared" ref="R6:R12" si="0">SUM(N6:Q6)</f>
        <v>127122</v>
      </c>
      <c r="S6" s="48">
        <f>SUMIFS(Table_Query_from_MS_Access_Database_16[[#All],[Total]],Table_Query_from_MS_Access_Database_16[[#All],[Transaction Year]],"2014",Table_Query_from_MS_Access_Database_16[[#All],[Transaction Type]],"Loan In")</f>
        <v>120639</v>
      </c>
      <c r="T6" s="37"/>
    </row>
    <row r="7" spans="1:20" x14ac:dyDescent="0.3">
      <c r="A7" s="50"/>
      <c r="J7" s="34"/>
      <c r="K7" s="34"/>
      <c r="L7" s="34"/>
      <c r="M7" s="132" t="s">
        <v>84</v>
      </c>
      <c r="N7" s="113">
        <f>SUMIFS(Table_Query_from_MS_Access_Database[[#All],[HSIP]],Table_Query_from_MS_Access_Database[[#All],[Transaction Year]],"2014",Table_Query_from_MS_Access_Database[[#All],[Transaction Type]],"loan Out")</f>
        <v>0</v>
      </c>
      <c r="O7" s="110">
        <f>SUMIFS(Table_Query_from_MS_Access_Database[[#All],[PL]],Table_Query_from_MS_Access_Database[[#All],[Transaction Year]],"2014",Table_Query_from_MS_Access_Database[[#All],[Transaction Type]],"loan Out")</f>
        <v>0</v>
      </c>
      <c r="P7" s="110">
        <f>SUMIFS(Table_Query_from_MS_Access_Database[[#All],[SPR]],Table_Query_from_MS_Access_Database[[#All],[Transaction Year]],"2014",Table_Query_from_MS_Access_Database[[#All],[Transaction Type]],"loan Out")</f>
        <v>0</v>
      </c>
      <c r="Q7" s="114">
        <f>SUMIFS(Table_Query_from_MS_Access_Database[[#All],[STP other]],Table_Query_from_MS_Access_Database[[#All],[Transaction Year]],"2014",Table_Query_from_MS_Access_Database[[#All],[Transaction Type]],"loan Out")</f>
        <v>0</v>
      </c>
      <c r="R7" s="46">
        <f t="shared" si="0"/>
        <v>0</v>
      </c>
      <c r="S7" s="48">
        <f>SUMIFS(Table_Query_from_MS_Access_Database_16[[#All],[Total]],Table_Query_from_MS_Access_Database_16[[#All],[Transaction Year]],"2014",Table_Query_from_MS_Access_Database_16[[#All],[Transaction Type]],"Loan Out")</f>
        <v>0</v>
      </c>
      <c r="T7" s="37"/>
    </row>
    <row r="8" spans="1:20" x14ac:dyDescent="0.3">
      <c r="J8" s="34"/>
      <c r="K8" s="34"/>
      <c r="L8" s="34"/>
      <c r="M8" s="131" t="s">
        <v>85</v>
      </c>
      <c r="N8" s="113">
        <f>SUMIFS(Table_Query_from_MS_Access_Database[[#All],[HSIP]],Table_Query_from_MS_Access_Database[[#All],[Transaction Year]],"2014",Table_Query_from_MS_Access_Database[[#All],[Transaction Type]],"repayment in")</f>
        <v>0</v>
      </c>
      <c r="O8" s="110">
        <f>SUMIFS(Table_Query_from_MS_Access_Database[[#All],[PL]],Table_Query_from_MS_Access_Database[[#All],[Transaction Year]],"2014",Table_Query_from_MS_Access_Database[[#All],[Transaction Type]],"repayment in")</f>
        <v>0</v>
      </c>
      <c r="P8" s="110">
        <f>SUMIFS(Table_Query_from_MS_Access_Database[[#All],[SPR]],Table_Query_from_MS_Access_Database[[#All],[Transaction Year]],"2014",Table_Query_from_MS_Access_Database[[#All],[Transaction Type]],"repayment in")</f>
        <v>0</v>
      </c>
      <c r="Q8" s="114">
        <f>SUMIFS(Table_Query_from_MS_Access_Database[[#All],[STP other]],Table_Query_from_MS_Access_Database[[#All],[Transaction Year]],"2014",Table_Query_from_MS_Access_Database[[#All],[Transaction Type]],"repayment in")</f>
        <v>0</v>
      </c>
      <c r="R8" s="46">
        <f t="shared" si="0"/>
        <v>0</v>
      </c>
      <c r="S8" s="48">
        <f>SUMIFS(Table_Query_from_MS_Access_Database_16[[#All],[Total]],Table_Query_from_MS_Access_Database_16[[#All],[Transaction Year]],"2014",Table_Query_from_MS_Access_Database_16[[#All],[Transaction Type]],"repayment In")</f>
        <v>0</v>
      </c>
      <c r="T8" s="37"/>
    </row>
    <row r="9" spans="1:20" x14ac:dyDescent="0.3">
      <c r="A9" s="155" t="s">
        <v>104</v>
      </c>
      <c r="B9" s="155"/>
      <c r="C9" s="155"/>
      <c r="D9" s="155"/>
      <c r="E9" s="155"/>
      <c r="F9" s="155"/>
      <c r="G9" s="155"/>
      <c r="H9" s="155"/>
      <c r="I9" s="155"/>
      <c r="J9" s="155"/>
      <c r="K9" s="155"/>
      <c r="L9" s="155"/>
      <c r="M9" s="132" t="s">
        <v>86</v>
      </c>
      <c r="N9" s="113">
        <f>SUMIFS(Table_Query_from_MS_Access_Database[[#All],[HSIP]],Table_Query_from_MS_Access_Database[[#All],[Transaction Year]],"2014",Table_Query_from_MS_Access_Database[[#All],[Transaction Type]],"repayment Out")</f>
        <v>0</v>
      </c>
      <c r="O9" s="110">
        <f>SUMIFS(Table_Query_from_MS_Access_Database[[#All],[PL]],Table_Query_from_MS_Access_Database[[#All],[Transaction Year]],"2014",Table_Query_from_MS_Access_Database[[#All],[Transaction Type]],"repayment Out")</f>
        <v>0</v>
      </c>
      <c r="P9" s="110">
        <f>SUMIFS(Table_Query_from_MS_Access_Database[[#All],[SPR]],Table_Query_from_MS_Access_Database[[#All],[Transaction Year]],"2014",Table_Query_from_MS_Access_Database[[#All],[Transaction Type]],"repayment Out")</f>
        <v>0</v>
      </c>
      <c r="Q9" s="114">
        <f>SUMIFS(Table_Query_from_MS_Access_Database[[#All],[STP other]],Table_Query_from_MS_Access_Database[[#All],[Transaction Year]],"2014",Table_Query_from_MS_Access_Database[[#All],[Transaction Type]],"repayment Out")</f>
        <v>0</v>
      </c>
      <c r="R9" s="46">
        <f t="shared" si="0"/>
        <v>0</v>
      </c>
      <c r="S9" s="48">
        <f>SUMIFS(Table_Query_from_MS_Access_Database_16[[#All],[Total]],Table_Query_from_MS_Access_Database_16[[#All],[Transaction Year]],"2014",Table_Query_from_MS_Access_Database_16[[#All],[Transaction Type]],"Repayment Out")</f>
        <v>0</v>
      </c>
      <c r="T9" s="37"/>
    </row>
    <row r="10" spans="1:20" x14ac:dyDescent="0.3">
      <c r="J10" s="34"/>
      <c r="K10" s="34"/>
      <c r="L10" s="34"/>
      <c r="M10" s="132" t="s">
        <v>87</v>
      </c>
      <c r="N10" s="113">
        <f>SUMIFS(Table_Query_from_MS_Access_Database[[#All],[HSIP]],Table_Query_from_MS_Access_Database[[#All],[Transaction Year]],"2014",Table_Query_from_MS_Access_Database[[#All],[Transaction Type]],"Transfer in")</f>
        <v>0</v>
      </c>
      <c r="O10" s="110">
        <f>SUMIFS(Table_Query_from_MS_Access_Database[[#All],[PL]],Table_Query_from_MS_Access_Database[[#All],[Transaction Year]],"2014",Table_Query_from_MS_Access_Database[[#All],[Transaction Type]],"Transfer in")</f>
        <v>0</v>
      </c>
      <c r="P10" s="110">
        <f>SUMIFS(Table_Query_from_MS_Access_Database[[#All],[SPR]],Table_Query_from_MS_Access_Database[[#All],[Transaction Year]],"2014",Table_Query_from_MS_Access_Database[[#All],[Transaction Type]],"Transfer in")</f>
        <v>0</v>
      </c>
      <c r="Q10" s="114">
        <f>SUMIFS(Table_Query_from_MS_Access_Database[[#All],[STP other]],Table_Query_from_MS_Access_Database[[#All],[Transaction Year]],"2014",Table_Query_from_MS_Access_Database[[#All],[Transaction Type]],"Transfer in")</f>
        <v>158061</v>
      </c>
      <c r="R10" s="46">
        <f t="shared" si="0"/>
        <v>158061</v>
      </c>
      <c r="S10" s="48">
        <f>SUMIFS(Table_Query_from_MS_Access_Database_16[[#All],[Total]],Table_Query_from_MS_Access_Database_16[[#All],[Transaction Year]],"2014",Table_Query_from_MS_Access_Database_16[[#All],[Transaction Type]],"Transfer In")</f>
        <v>150000</v>
      </c>
      <c r="T10" s="33"/>
    </row>
    <row r="11" spans="1:20" x14ac:dyDescent="0.3">
      <c r="F11" s="51"/>
      <c r="G11" s="51"/>
      <c r="J11" s="34"/>
      <c r="K11" s="34"/>
      <c r="L11" s="34"/>
      <c r="M11" s="132" t="s">
        <v>88</v>
      </c>
      <c r="N11" s="113">
        <f>SUMIFS(Table_Query_from_MS_Access_Database[[#All],[HSIP]],Table_Query_from_MS_Access_Database[[#All],[Transaction Year]],"2014",Table_Query_from_MS_Access_Database[[#All],[Transaction Type]],"Transfer Out")</f>
        <v>0</v>
      </c>
      <c r="O11" s="110">
        <f>SUMIFS(Table_Query_from_MS_Access_Database[[#All],[PL]],Table_Query_from_MS_Access_Database[[#All],[Transaction Year]],"2014",Table_Query_from_MS_Access_Database[[#All],[Transaction Type]],"Transfer Out")</f>
        <v>0</v>
      </c>
      <c r="P11" s="110">
        <f>SUMIFS(Table_Query_from_MS_Access_Database[[#All],[SPR]],Table_Query_from_MS_Access_Database[[#All],[Transaction Year]],"2014",Table_Query_from_MS_Access_Database[[#All],[Transaction Type]],"Transfer Out")</f>
        <v>0</v>
      </c>
      <c r="Q11" s="114">
        <f>SUMIFS(Table_Query_from_MS_Access_Database[[#All],[STP other]],Table_Query_from_MS_Access_Database[[#All],[Transaction Year]],"2014",Table_Query_from_MS_Access_Database[[#All],[Transaction Type]],"Transfer Out")</f>
        <v>0</v>
      </c>
      <c r="R11" s="46">
        <f t="shared" si="0"/>
        <v>0</v>
      </c>
      <c r="S11" s="48">
        <f>SUMIFS(Table_Query_from_MS_Access_Database_16[[#All],[Total]],Table_Query_from_MS_Access_Database_16[[#All],[Transaction Year]],"2014",Table_Query_from_MS_Access_Database_16[[#All],[Transaction Type]],"Transfer Out")</f>
        <v>0</v>
      </c>
      <c r="T11" s="49"/>
    </row>
    <row r="12" spans="1:20" ht="26.4" x14ac:dyDescent="0.3">
      <c r="J12" s="34"/>
      <c r="K12" s="34"/>
      <c r="L12" s="34"/>
      <c r="M12" s="133" t="s">
        <v>105</v>
      </c>
      <c r="N12" s="130">
        <f>SUM(N4:N11)</f>
        <v>646889</v>
      </c>
      <c r="O12" s="53">
        <f>SUM(O4:O11)</f>
        <v>117104</v>
      </c>
      <c r="P12" s="53">
        <f>SUM(P4:P11)</f>
        <v>156250</v>
      </c>
      <c r="Q12" s="53">
        <f>SUM(Q4:Q11)</f>
        <v>770981</v>
      </c>
      <c r="R12" s="81">
        <f t="shared" si="0"/>
        <v>1691224</v>
      </c>
      <c r="S12" s="52">
        <f>SUM(S4:S11)</f>
        <v>1604624.2497135138</v>
      </c>
      <c r="T12" s="49"/>
    </row>
    <row r="13" spans="1:20" x14ac:dyDescent="0.3">
      <c r="J13" s="34"/>
      <c r="K13" s="34"/>
      <c r="L13" s="34"/>
      <c r="M13" s="34"/>
      <c r="N13" s="54"/>
      <c r="O13" s="55"/>
      <c r="P13" s="55"/>
      <c r="Q13" s="55"/>
      <c r="R13" s="55"/>
      <c r="S13" s="55"/>
      <c r="T13" s="49"/>
    </row>
    <row r="14" spans="1:20" ht="16.8" x14ac:dyDescent="0.3">
      <c r="A14" s="154" t="s">
        <v>74</v>
      </c>
      <c r="B14" s="154"/>
      <c r="C14" s="154"/>
      <c r="D14" s="154"/>
      <c r="J14" s="157" t="s">
        <v>76</v>
      </c>
      <c r="K14" s="158"/>
      <c r="L14" s="158"/>
      <c r="M14" s="159"/>
      <c r="N14" s="56"/>
      <c r="R14" s="57"/>
      <c r="S14" s="57"/>
      <c r="T14" s="57"/>
    </row>
    <row r="15" spans="1:20" s="58" customFormat="1" ht="26.4" x14ac:dyDescent="0.3">
      <c r="A15" s="97" t="s">
        <v>1</v>
      </c>
      <c r="B15" s="98" t="s">
        <v>0</v>
      </c>
      <c r="C15" s="98" t="s">
        <v>3</v>
      </c>
      <c r="D15" s="98" t="s">
        <v>99</v>
      </c>
      <c r="E15" s="98" t="s">
        <v>2</v>
      </c>
      <c r="F15" s="98" t="s">
        <v>60</v>
      </c>
      <c r="G15" s="98" t="s">
        <v>52</v>
      </c>
      <c r="H15" s="98" t="s">
        <v>53</v>
      </c>
      <c r="I15" s="98" t="s">
        <v>54</v>
      </c>
      <c r="J15" s="98" t="s">
        <v>55</v>
      </c>
      <c r="K15" s="98" t="s">
        <v>56</v>
      </c>
      <c r="L15" s="98" t="s">
        <v>57</v>
      </c>
      <c r="M15" s="98" t="s">
        <v>58</v>
      </c>
      <c r="N15" s="99" t="s">
        <v>4</v>
      </c>
      <c r="O15" s="99" t="s">
        <v>45</v>
      </c>
      <c r="P15" s="99" t="s">
        <v>5</v>
      </c>
      <c r="Q15" s="99" t="s">
        <v>59</v>
      </c>
      <c r="R15" s="99" t="s">
        <v>102</v>
      </c>
      <c r="S15" s="100" t="s">
        <v>110</v>
      </c>
      <c r="T15" s="86"/>
    </row>
    <row r="16" spans="1:20" s="61" customFormat="1" ht="13.2" x14ac:dyDescent="0.3">
      <c r="A16" s="61" t="s">
        <v>153</v>
      </c>
      <c r="C16" s="61" t="s">
        <v>154</v>
      </c>
      <c r="D16" s="61" t="s">
        <v>8</v>
      </c>
      <c r="E16" s="85" t="s">
        <v>155</v>
      </c>
      <c r="F16" s="111" t="str">
        <f>CONCATENATE(Table_Query_from_MS_Access_Database8[[#This Row],[RTE]],Table_Query_from_MS_Access_Database8[[#This Row],[SEC]],Table_Query_from_MS_Access_Database8[[#This Row],[SEQ]])</f>
        <v>000V184</v>
      </c>
      <c r="G16" s="85" t="s">
        <v>130</v>
      </c>
      <c r="H16" s="85" t="s">
        <v>156</v>
      </c>
      <c r="I16" s="85" t="s">
        <v>157</v>
      </c>
      <c r="J16" s="88"/>
      <c r="K16" s="88">
        <v>41766</v>
      </c>
      <c r="L16" s="89">
        <v>41779</v>
      </c>
      <c r="M16" s="89">
        <v>41786</v>
      </c>
      <c r="N16" s="124"/>
      <c r="O16" s="125">
        <v>111131</v>
      </c>
      <c r="P16" s="125"/>
      <c r="Q16" s="125"/>
      <c r="R16" s="125">
        <f>+Table_Query_from_MS_Access_Database8[[#This Row],[HSIP]]+Table_Query_from_MS_Access_Database8[[#This Row],[PL]]+Table_Query_from_MS_Access_Database8[[#This Row],[SPR]]+Table_Query_from_MS_Access_Database8[[#This Row],[STP OTHER]]</f>
        <v>111131</v>
      </c>
      <c r="S16" s="125">
        <f>+S12-Table_Query_from_MS_Access_Database8[TOTAL OF AMOUNT]</f>
        <v>1493493.2497135138</v>
      </c>
      <c r="T16" s="86"/>
    </row>
    <row r="17" spans="1:20" s="61" customFormat="1" ht="13.2" x14ac:dyDescent="0.3">
      <c r="A17" s="61" t="s">
        <v>153</v>
      </c>
      <c r="C17" s="61" t="s">
        <v>154</v>
      </c>
      <c r="D17" s="61" t="s">
        <v>8</v>
      </c>
      <c r="E17" s="85" t="s">
        <v>155</v>
      </c>
      <c r="F17" s="111" t="str">
        <f>CONCATENATE(Table_Query_from_MS_Access_Database8[[#This Row],[RTE]],Table_Query_from_MS_Access_Database8[[#This Row],[SEC]],Table_Query_from_MS_Access_Database8[[#This Row],[SEQ]])</f>
        <v>000V184</v>
      </c>
      <c r="G17" s="85" t="s">
        <v>130</v>
      </c>
      <c r="H17" s="85" t="s">
        <v>156</v>
      </c>
      <c r="I17" s="85" t="s">
        <v>157</v>
      </c>
      <c r="J17" s="88"/>
      <c r="K17" s="88">
        <v>41877</v>
      </c>
      <c r="L17" s="89">
        <v>41893</v>
      </c>
      <c r="M17" s="89">
        <v>41898</v>
      </c>
      <c r="N17" s="124"/>
      <c r="O17" s="125">
        <v>-88669</v>
      </c>
      <c r="P17" s="125"/>
      <c r="Q17" s="125"/>
      <c r="R17" s="125">
        <f>+Table_Query_from_MS_Access_Database8[[#This Row],[HSIP]]+Table_Query_from_MS_Access_Database8[[#This Row],[PL]]+Table_Query_from_MS_Access_Database8[[#This Row],[SPR]]+Table_Query_from_MS_Access_Database8[[#This Row],[STP OTHER]]</f>
        <v>-88669</v>
      </c>
      <c r="S17" s="125">
        <f>+S16-Table_Query_from_MS_Access_Database8[TOTAL OF AMOUNT]</f>
        <v>1582162.2497135138</v>
      </c>
      <c r="T17" s="86"/>
    </row>
    <row r="18" spans="1:20" s="61" customFormat="1" ht="13.2" x14ac:dyDescent="0.3">
      <c r="A18" s="107" t="s">
        <v>172</v>
      </c>
      <c r="B18" s="107"/>
      <c r="C18" s="107" t="s">
        <v>154</v>
      </c>
      <c r="D18" s="107" t="s">
        <v>8</v>
      </c>
      <c r="E18" s="106" t="s">
        <v>173</v>
      </c>
      <c r="F18" s="112" t="str">
        <f>CONCATENATE(Table_Query_from_MS_Access_Database8[[#This Row],[RTE]],Table_Query_from_MS_Access_Database8[[#This Row],[SEC]],Table_Query_from_MS_Access_Database8[[#This Row],[SEQ]])</f>
        <v>000V186</v>
      </c>
      <c r="G18" s="106" t="s">
        <v>130</v>
      </c>
      <c r="H18" s="106" t="s">
        <v>156</v>
      </c>
      <c r="I18" s="106" t="s">
        <v>174</v>
      </c>
      <c r="J18" s="88"/>
      <c r="K18" s="88">
        <v>41877</v>
      </c>
      <c r="L18" s="89">
        <v>41893</v>
      </c>
      <c r="M18" s="89">
        <v>41900</v>
      </c>
      <c r="N18" s="126"/>
      <c r="O18" s="127">
        <v>88669</v>
      </c>
      <c r="P18" s="127"/>
      <c r="Q18" s="127"/>
      <c r="R18" s="127">
        <f>+Table_Query_from_MS_Access_Database8[[#This Row],[HSIP]]+Table_Query_from_MS_Access_Database8[[#This Row],[PL]]+Table_Query_from_MS_Access_Database8[[#This Row],[SPR]]+Table_Query_from_MS_Access_Database8[[#This Row],[STP OTHER]]</f>
        <v>88669</v>
      </c>
      <c r="S18" s="125">
        <f>+S17-Table_Query_from_MS_Access_Database8[TOTAL OF AMOUNT]</f>
        <v>1493493.2497135138</v>
      </c>
      <c r="T18" s="86"/>
    </row>
    <row r="19" spans="1:20" s="61" customFormat="1" ht="13.2" x14ac:dyDescent="0.3">
      <c r="A19" s="107" t="s">
        <v>158</v>
      </c>
      <c r="B19" s="107" t="s">
        <v>178</v>
      </c>
      <c r="C19" s="107" t="s">
        <v>154</v>
      </c>
      <c r="D19" s="107" t="s">
        <v>7</v>
      </c>
      <c r="E19" s="106" t="s">
        <v>159</v>
      </c>
      <c r="F19" s="112" t="str">
        <f>CONCATENATE(Table_Query_from_MS_Access_Database8[[#This Row],[RTE]],Table_Query_from_MS_Access_Database8[[#This Row],[SEC]],Table_Query_from_MS_Access_Database8[[#This Row],[SEQ]])</f>
        <v>000P184</v>
      </c>
      <c r="G19" s="106" t="s">
        <v>130</v>
      </c>
      <c r="H19" s="106" t="s">
        <v>160</v>
      </c>
      <c r="I19" s="106" t="s">
        <v>157</v>
      </c>
      <c r="J19" s="88"/>
      <c r="K19" s="88">
        <v>41766</v>
      </c>
      <c r="L19" s="89">
        <v>41779</v>
      </c>
      <c r="M19" s="89">
        <v>41787</v>
      </c>
      <c r="N19" s="126"/>
      <c r="O19" s="127"/>
      <c r="P19" s="127">
        <v>118625</v>
      </c>
      <c r="Q19" s="127"/>
      <c r="R19" s="127">
        <f>+Table_Query_from_MS_Access_Database8[[#This Row],[HSIP]]+Table_Query_from_MS_Access_Database8[[#This Row],[PL]]+Table_Query_from_MS_Access_Database8[[#This Row],[SPR]]+Table_Query_from_MS_Access_Database8[[#This Row],[STP OTHER]]</f>
        <v>118625</v>
      </c>
      <c r="S19" s="125">
        <f>+S18-Table_Query_from_MS_Access_Database8[TOTAL OF AMOUNT]</f>
        <v>1374868.2497135138</v>
      </c>
      <c r="T19" s="86"/>
    </row>
    <row r="20" spans="1:20" s="61" customFormat="1" ht="13.2" x14ac:dyDescent="0.3">
      <c r="A20" s="107" t="s">
        <v>175</v>
      </c>
      <c r="B20" s="107" t="s">
        <v>176</v>
      </c>
      <c r="C20" s="107" t="s">
        <v>129</v>
      </c>
      <c r="D20" s="107" t="s">
        <v>7</v>
      </c>
      <c r="E20" s="106" t="s">
        <v>177</v>
      </c>
      <c r="F20" s="112" t="str">
        <f>CONCATENATE(Table_Query_from_MS_Access_Database8[[#This Row],[RTE]],Table_Query_from_MS_Access_Database8[[#This Row],[SEC]],Table_Query_from_MS_Access_Database8[[#This Row],[SEQ]])</f>
        <v>000P186</v>
      </c>
      <c r="G20" s="106" t="s">
        <v>130</v>
      </c>
      <c r="H20" s="106" t="s">
        <v>160</v>
      </c>
      <c r="I20" s="106" t="s">
        <v>174</v>
      </c>
      <c r="J20" s="88"/>
      <c r="K20" s="88">
        <v>41887</v>
      </c>
      <c r="L20" s="89">
        <v>41892</v>
      </c>
      <c r="M20" s="89">
        <v>41900</v>
      </c>
      <c r="N20" s="126"/>
      <c r="O20" s="127"/>
      <c r="P20" s="127">
        <v>22379.25</v>
      </c>
      <c r="Q20" s="127"/>
      <c r="R20" s="127">
        <f>+Table_Query_from_MS_Access_Database8[[#This Row],[HSIP]]+Table_Query_from_MS_Access_Database8[[#This Row],[PL]]+Table_Query_from_MS_Access_Database8[[#This Row],[SPR]]+Table_Query_from_MS_Access_Database8[[#This Row],[STP OTHER]]</f>
        <v>22379.25</v>
      </c>
      <c r="S20" s="125">
        <f>+S19-Table_Query_from_MS_Access_Database8[TOTAL OF AMOUNT]</f>
        <v>1352488.9997135138</v>
      </c>
    </row>
    <row r="21" spans="1:20" s="61" customFormat="1" ht="26.4" x14ac:dyDescent="0.3">
      <c r="A21" s="107" t="s">
        <v>161</v>
      </c>
      <c r="B21" s="107"/>
      <c r="C21" s="107" t="s">
        <v>129</v>
      </c>
      <c r="D21" s="107" t="s">
        <v>7</v>
      </c>
      <c r="E21" s="106" t="s">
        <v>162</v>
      </c>
      <c r="F21" s="112" t="str">
        <f>CONCATENATE(Table_Query_from_MS_Access_Database8[[#This Row],[RTE]],Table_Query_from_MS_Access_Database8[[#This Row],[SEC]],Table_Query_from_MS_Access_Database8[[#This Row],[SEQ]])</f>
        <v>999A445</v>
      </c>
      <c r="G21" s="106" t="s">
        <v>149</v>
      </c>
      <c r="H21" s="106" t="s">
        <v>150</v>
      </c>
      <c r="I21" s="106" t="s">
        <v>163</v>
      </c>
      <c r="J21" s="88"/>
      <c r="K21" s="88">
        <v>41813</v>
      </c>
      <c r="L21" s="89">
        <v>41817</v>
      </c>
      <c r="M21" s="89">
        <v>41820</v>
      </c>
      <c r="N21" s="126"/>
      <c r="O21" s="127"/>
      <c r="P21" s="127"/>
      <c r="Q21" s="127">
        <v>431161</v>
      </c>
      <c r="R21" s="127">
        <f>+Table_Query_from_MS_Access_Database8[[#This Row],[HSIP]]+Table_Query_from_MS_Access_Database8[[#This Row],[PL]]+Table_Query_from_MS_Access_Database8[[#This Row],[SPR]]+Table_Query_from_MS_Access_Database8[[#This Row],[STP OTHER]]</f>
        <v>431161</v>
      </c>
      <c r="S21" s="125">
        <f>+S20-Table_Query_from_MS_Access_Database8[TOTAL OF AMOUNT]</f>
        <v>921327.99971351377</v>
      </c>
    </row>
    <row r="22" spans="1:20" s="108" customFormat="1" ht="13.2" x14ac:dyDescent="0.3">
      <c r="A22" s="107" t="s">
        <v>147</v>
      </c>
      <c r="B22" s="107"/>
      <c r="C22" s="107" t="s">
        <v>129</v>
      </c>
      <c r="D22" s="107" t="s">
        <v>7</v>
      </c>
      <c r="E22" s="106" t="s">
        <v>148</v>
      </c>
      <c r="F22" s="112" t="str">
        <f>CONCATENATE(Table_Query_from_MS_Access_Database8[[#This Row],[RTE]],Table_Query_from_MS_Access_Database8[[#This Row],[SEC]],Table_Query_from_MS_Access_Database8[[#This Row],[SEQ]])</f>
        <v>999A452</v>
      </c>
      <c r="G22" s="106" t="s">
        <v>149</v>
      </c>
      <c r="H22" s="106" t="s">
        <v>150</v>
      </c>
      <c r="I22" s="106" t="s">
        <v>151</v>
      </c>
      <c r="J22" s="88"/>
      <c r="K22" s="88">
        <v>41781</v>
      </c>
      <c r="L22" s="89">
        <v>41799</v>
      </c>
      <c r="M22" s="89">
        <v>41807</v>
      </c>
      <c r="N22" s="126">
        <v>304963</v>
      </c>
      <c r="O22" s="127"/>
      <c r="P22" s="127"/>
      <c r="Q22" s="127"/>
      <c r="R22" s="127">
        <f>+Table_Query_from_MS_Access_Database8[[#This Row],[HSIP]]+Table_Query_from_MS_Access_Database8[[#This Row],[PL]]+Table_Query_from_MS_Access_Database8[[#This Row],[SPR]]+Table_Query_from_MS_Access_Database8[[#This Row],[STP OTHER]]</f>
        <v>304963</v>
      </c>
      <c r="S22" s="125">
        <f>+S21-Table_Query_from_MS_Access_Database8[TOTAL OF AMOUNT]</f>
        <v>616364.99971351377</v>
      </c>
      <c r="T22" s="64"/>
    </row>
    <row r="23" spans="1:20" s="108" customFormat="1" ht="13.2" x14ac:dyDescent="0.3">
      <c r="A23" s="107" t="s">
        <v>152</v>
      </c>
      <c r="B23" s="107"/>
      <c r="C23" s="107" t="s">
        <v>129</v>
      </c>
      <c r="D23" s="107" t="s">
        <v>7</v>
      </c>
      <c r="E23" s="106" t="s">
        <v>148</v>
      </c>
      <c r="F23" s="112" t="str">
        <f>CONCATENATE(Table_Query_from_MS_Access_Database8[[#This Row],[RTE]],Table_Query_from_MS_Access_Database8[[#This Row],[SEC]],Table_Query_from_MS_Access_Database8[[#This Row],[SEQ]])</f>
        <v>999A452</v>
      </c>
      <c r="G23" s="106" t="s">
        <v>149</v>
      </c>
      <c r="H23" s="106" t="s">
        <v>150</v>
      </c>
      <c r="I23" s="106" t="s">
        <v>151</v>
      </c>
      <c r="J23" s="88"/>
      <c r="K23" s="88">
        <v>41781</v>
      </c>
      <c r="L23" s="89">
        <v>41799</v>
      </c>
      <c r="M23" s="89">
        <v>41807</v>
      </c>
      <c r="N23" s="126">
        <v>9430</v>
      </c>
      <c r="O23" s="127"/>
      <c r="P23" s="127"/>
      <c r="Q23" s="127"/>
      <c r="R23" s="127">
        <f>+Table_Query_from_MS_Access_Database8[[#This Row],[HSIP]]+Table_Query_from_MS_Access_Database8[[#This Row],[PL]]+Table_Query_from_MS_Access_Database8[[#This Row],[SPR]]+Table_Query_from_MS_Access_Database8[[#This Row],[STP OTHER]]</f>
        <v>9430</v>
      </c>
      <c r="S23" s="125">
        <f>+S22-Table_Query_from_MS_Access_Database8[TOTAL OF AMOUNT]</f>
        <v>606934.99971351377</v>
      </c>
      <c r="T23" s="64"/>
    </row>
    <row r="24" spans="1:20" s="108" customFormat="1" ht="13.2" x14ac:dyDescent="0.3">
      <c r="A24" s="107" t="s">
        <v>114</v>
      </c>
      <c r="B24" s="107" t="s">
        <v>115</v>
      </c>
      <c r="C24" s="107" t="s">
        <v>116</v>
      </c>
      <c r="D24" s="107" t="s">
        <v>7</v>
      </c>
      <c r="E24" s="106" t="s">
        <v>117</v>
      </c>
      <c r="F24" s="112" t="str">
        <f>CONCATENATE(Table_Query_from_MS_Access_Database8[[#This Row],[RTE]],Table_Query_from_MS_Access_Database8[[#This Row],[SEC]],Table_Query_from_MS_Access_Database8[[#This Row],[SEQ]])</f>
        <v>CLG0206</v>
      </c>
      <c r="G24" s="106" t="s">
        <v>118</v>
      </c>
      <c r="H24" s="106" t="s">
        <v>119</v>
      </c>
      <c r="I24" s="106" t="s">
        <v>120</v>
      </c>
      <c r="J24" s="88"/>
      <c r="K24" s="88">
        <v>41813</v>
      </c>
      <c r="L24" s="89">
        <v>41814</v>
      </c>
      <c r="M24" s="89">
        <v>41820</v>
      </c>
      <c r="N24" s="126">
        <v>215075</v>
      </c>
      <c r="O24" s="127"/>
      <c r="P24" s="127"/>
      <c r="Q24" s="127"/>
      <c r="R24" s="127">
        <f>+Table_Query_from_MS_Access_Database8[[#This Row],[HSIP]]+Table_Query_from_MS_Access_Database8[[#This Row],[PL]]+Table_Query_from_MS_Access_Database8[[#This Row],[SPR]]+Table_Query_from_MS_Access_Database8[[#This Row],[STP OTHER]]</f>
        <v>215075</v>
      </c>
      <c r="S24" s="125">
        <f>+S23-Table_Query_from_MS_Access_Database8[TOTAL OF AMOUNT]</f>
        <v>391859.99971351377</v>
      </c>
      <c r="T24" s="64"/>
    </row>
    <row r="25" spans="1:20" s="108" customFormat="1" ht="13.2" x14ac:dyDescent="0.3">
      <c r="A25" s="107" t="s">
        <v>121</v>
      </c>
      <c r="B25" s="107" t="s">
        <v>115</v>
      </c>
      <c r="C25" s="107" t="s">
        <v>116</v>
      </c>
      <c r="D25" s="107" t="s">
        <v>7</v>
      </c>
      <c r="E25" s="106" t="s">
        <v>117</v>
      </c>
      <c r="F25" s="112" t="str">
        <f>CONCATENATE(Table_Query_from_MS_Access_Database8[[#This Row],[RTE]],Table_Query_from_MS_Access_Database8[[#This Row],[SEC]],Table_Query_from_MS_Access_Database8[[#This Row],[SEQ]])</f>
        <v>CLG0206</v>
      </c>
      <c r="G25" s="106" t="s">
        <v>118</v>
      </c>
      <c r="H25" s="106" t="s">
        <v>119</v>
      </c>
      <c r="I25" s="106" t="s">
        <v>120</v>
      </c>
      <c r="J25" s="88">
        <v>41791</v>
      </c>
      <c r="K25" s="88">
        <v>41773</v>
      </c>
      <c r="L25" s="89">
        <v>41792</v>
      </c>
      <c r="M25" s="89">
        <v>41808</v>
      </c>
      <c r="N25" s="126">
        <v>30000</v>
      </c>
      <c r="O25" s="127"/>
      <c r="P25" s="127"/>
      <c r="Q25" s="127"/>
      <c r="R25" s="127">
        <f>+Table_Query_from_MS_Access_Database8[[#This Row],[HSIP]]+Table_Query_from_MS_Access_Database8[[#This Row],[PL]]+Table_Query_from_MS_Access_Database8[[#This Row],[SPR]]+Table_Query_from_MS_Access_Database8[[#This Row],[STP OTHER]]</f>
        <v>30000</v>
      </c>
      <c r="S25" s="125">
        <f>+S24-Table_Query_from_MS_Access_Database8[TOTAL OF AMOUNT]</f>
        <v>361859.99971351377</v>
      </c>
      <c r="T25" s="64"/>
    </row>
    <row r="26" spans="1:20" s="108" customFormat="1" ht="26.4" x14ac:dyDescent="0.3">
      <c r="A26" s="145" t="s">
        <v>123</v>
      </c>
      <c r="B26" s="145" t="s">
        <v>124</v>
      </c>
      <c r="C26" s="145" t="s">
        <v>125</v>
      </c>
      <c r="D26" s="145" t="s">
        <v>7</v>
      </c>
      <c r="E26" s="146" t="s">
        <v>126</v>
      </c>
      <c r="F26" s="147" t="str">
        <f>CONCATENATE(Table_Query_from_MS_Access_Database8[[#This Row],[RTE]],Table_Query_from_MS_Access_Database8[[#This Row],[SEC]],Table_Query_from_MS_Access_Database8[[#This Row],[SEQ]])</f>
        <v>ELY0203</v>
      </c>
      <c r="G26" s="146" t="s">
        <v>127</v>
      </c>
      <c r="H26" s="146" t="s">
        <v>119</v>
      </c>
      <c r="I26" s="146" t="s">
        <v>122</v>
      </c>
      <c r="J26" s="148">
        <v>41820</v>
      </c>
      <c r="K26" s="148">
        <v>41810</v>
      </c>
      <c r="L26" s="149">
        <v>41814</v>
      </c>
      <c r="M26" s="149">
        <v>41820</v>
      </c>
      <c r="N26" s="150">
        <v>46860</v>
      </c>
      <c r="O26" s="151"/>
      <c r="P26" s="151"/>
      <c r="Q26" s="151"/>
      <c r="R26" s="151">
        <f>+Table_Query_from_MS_Access_Database8[[#This Row],[HSIP]]+Table_Query_from_MS_Access_Database8[[#This Row],[PL]]+Table_Query_from_MS_Access_Database8[[#This Row],[SPR]]+Table_Query_from_MS_Access_Database8[[#This Row],[STP OTHER]]</f>
        <v>46860</v>
      </c>
      <c r="S26" s="125">
        <f>+S25-Table_Query_from_MS_Access_Database8[TOTAL OF AMOUNT]</f>
        <v>314999.99971351377</v>
      </c>
      <c r="T26" s="64"/>
    </row>
    <row r="27" spans="1:20" s="108" customFormat="1" ht="26.4" x14ac:dyDescent="0.3">
      <c r="A27" s="145" t="s">
        <v>128</v>
      </c>
      <c r="B27" s="145" t="s">
        <v>124</v>
      </c>
      <c r="C27" s="145" t="s">
        <v>125</v>
      </c>
      <c r="D27" s="145" t="s">
        <v>7</v>
      </c>
      <c r="E27" s="146" t="s">
        <v>126</v>
      </c>
      <c r="F27" s="147" t="str">
        <f>CONCATENATE(Table_Query_from_MS_Access_Database8[[#This Row],[RTE]],Table_Query_from_MS_Access_Database8[[#This Row],[SEC]],Table_Query_from_MS_Access_Database8[[#This Row],[SEQ]])</f>
        <v>ELY0203</v>
      </c>
      <c r="G27" s="146" t="s">
        <v>127</v>
      </c>
      <c r="H27" s="146" t="s">
        <v>119</v>
      </c>
      <c r="I27" s="146" t="s">
        <v>122</v>
      </c>
      <c r="J27" s="148">
        <v>41774</v>
      </c>
      <c r="K27" s="148">
        <v>41771</v>
      </c>
      <c r="L27" s="149">
        <v>41787</v>
      </c>
      <c r="M27" s="149">
        <v>41808</v>
      </c>
      <c r="N27" s="150">
        <v>15000</v>
      </c>
      <c r="O27" s="151"/>
      <c r="P27" s="151"/>
      <c r="Q27" s="151"/>
      <c r="R27" s="151">
        <f>+Table_Query_from_MS_Access_Database8[[#This Row],[HSIP]]+Table_Query_from_MS_Access_Database8[[#This Row],[PL]]+Table_Query_from_MS_Access_Database8[[#This Row],[SPR]]+Table_Query_from_MS_Access_Database8[[#This Row],[STP OTHER]]</f>
        <v>15000</v>
      </c>
      <c r="S27" s="125">
        <f>+S26-Table_Query_from_MS_Access_Database8[TOTAL OF AMOUNT]</f>
        <v>299999.99971351377</v>
      </c>
      <c r="T27" s="64"/>
    </row>
    <row r="28" spans="1:20" s="63" customFormat="1" ht="26.4" x14ac:dyDescent="0.3">
      <c r="A28" s="145" t="s">
        <v>131</v>
      </c>
      <c r="B28" s="145" t="s">
        <v>132</v>
      </c>
      <c r="C28" s="145" t="s">
        <v>116</v>
      </c>
      <c r="D28" s="145" t="s">
        <v>7</v>
      </c>
      <c r="E28" s="146" t="s">
        <v>133</v>
      </c>
      <c r="F28" s="147" t="str">
        <f>CONCATENATE(Table_Query_from_MS_Access_Database8[[#This Row],[RTE]],Table_Query_from_MS_Access_Database8[[#This Row],[SEC]],Table_Query_from_MS_Access_Database8[[#This Row],[SEQ]])</f>
        <v>CLG0207</v>
      </c>
      <c r="G28" s="146" t="s">
        <v>118</v>
      </c>
      <c r="H28" s="146" t="s">
        <v>119</v>
      </c>
      <c r="I28" s="146" t="s">
        <v>134</v>
      </c>
      <c r="J28" s="148">
        <v>41791</v>
      </c>
      <c r="K28" s="148">
        <v>41772</v>
      </c>
      <c r="L28" s="149">
        <v>41809</v>
      </c>
      <c r="M28" s="149">
        <v>41815</v>
      </c>
      <c r="N28" s="150"/>
      <c r="O28" s="151"/>
      <c r="P28" s="151"/>
      <c r="Q28" s="151">
        <v>300000</v>
      </c>
      <c r="R28" s="151">
        <f>+Table_Query_from_MS_Access_Database8[[#This Row],[HSIP]]+Table_Query_from_MS_Access_Database8[[#This Row],[PL]]+Table_Query_from_MS_Access_Database8[[#This Row],[SPR]]+Table_Query_from_MS_Access_Database8[[#This Row],[STP OTHER]]</f>
        <v>300000</v>
      </c>
      <c r="S28" s="125">
        <f>ABS(+S27-Table_Query_from_MS_Access_Database8[TOTAL OF AMOUNT])</f>
        <v>2.8648623265326023E-4</v>
      </c>
      <c r="T28" s="57"/>
    </row>
    <row r="29" spans="1:20" s="63" customFormat="1" ht="15" x14ac:dyDescent="0.3">
      <c r="A29" s="61"/>
      <c r="B29" s="61"/>
      <c r="C29" s="61"/>
      <c r="D29" s="61"/>
      <c r="E29" s="101"/>
      <c r="F29" s="101"/>
      <c r="G29" s="101"/>
      <c r="H29" s="101"/>
      <c r="I29" s="101"/>
      <c r="J29" s="101"/>
      <c r="K29" s="101"/>
      <c r="L29" s="101"/>
      <c r="M29" s="87" t="s">
        <v>90</v>
      </c>
      <c r="N29" s="128">
        <f>SUM(Table_Query_from_MS_Access_Database8[[#All],[HSIP]])</f>
        <v>621328</v>
      </c>
      <c r="O29" s="128">
        <f>SUM(Table_Query_from_MS_Access_Database8[[#All],[PL]])</f>
        <v>111131</v>
      </c>
      <c r="P29" s="128">
        <f>SUM(Table_Query_from_MS_Access_Database8[[#All],[SPR]])</f>
        <v>141004.25</v>
      </c>
      <c r="Q29" s="128">
        <f>SUM(Table_Query_from_MS_Access_Database8[[#All],[STP OTHER]])</f>
        <v>731161</v>
      </c>
      <c r="R29" s="128">
        <f>SUM(Table_Query_from_MS_Access_Database8[[#All],[TOTAL OF AMOUNT]])</f>
        <v>1604624.25</v>
      </c>
      <c r="S29" s="129"/>
      <c r="T29" s="57"/>
    </row>
    <row r="30" spans="1:20" s="63" customFormat="1" ht="15" x14ac:dyDescent="0.3">
      <c r="A30" s="109"/>
      <c r="B30" s="109"/>
      <c r="C30" s="109"/>
      <c r="D30" s="109"/>
      <c r="E30" s="101"/>
      <c r="F30" s="101"/>
      <c r="G30" s="101"/>
      <c r="H30" s="101"/>
      <c r="I30" s="101"/>
      <c r="J30" s="101"/>
      <c r="K30" s="101"/>
      <c r="L30" s="101"/>
      <c r="M30" s="87" t="s">
        <v>89</v>
      </c>
      <c r="N30" s="122">
        <f>+N12-N29</f>
        <v>25561</v>
      </c>
      <c r="O30" s="122">
        <f>+O12-O29</f>
        <v>5973</v>
      </c>
      <c r="P30" s="122">
        <f>+P12-P29</f>
        <v>15245.75</v>
      </c>
      <c r="Q30" s="122">
        <f>+Q12-Q29</f>
        <v>39820</v>
      </c>
      <c r="R30" s="122">
        <f>+R12-R29</f>
        <v>86599.75</v>
      </c>
      <c r="S30" s="119"/>
      <c r="T30" s="57"/>
    </row>
    <row r="31" spans="1:20" s="63" customFormat="1" ht="15" x14ac:dyDescent="0.3">
      <c r="A31" s="102"/>
      <c r="B31" s="102"/>
      <c r="C31" s="102"/>
      <c r="D31" s="102"/>
      <c r="E31" s="103"/>
      <c r="F31" s="103"/>
      <c r="G31" s="103"/>
      <c r="H31" s="103"/>
      <c r="I31" s="103"/>
      <c r="J31" s="103"/>
      <c r="K31" s="103"/>
      <c r="L31" s="103"/>
      <c r="M31" s="102"/>
      <c r="N31" s="102"/>
      <c r="O31" s="102"/>
      <c r="P31" s="102"/>
      <c r="Q31" s="102"/>
      <c r="R31" s="102"/>
      <c r="S31" s="57"/>
      <c r="T31" s="57"/>
    </row>
    <row r="32" spans="1:20" s="108" customFormat="1" ht="15" x14ac:dyDescent="0.3">
      <c r="A32" s="102"/>
      <c r="B32" s="102"/>
      <c r="C32" s="102"/>
      <c r="D32" s="102"/>
      <c r="E32" s="103"/>
      <c r="F32" s="103"/>
      <c r="G32" s="103"/>
      <c r="H32" s="103"/>
      <c r="I32" s="103"/>
      <c r="J32" s="103"/>
      <c r="K32" s="103"/>
      <c r="L32" s="103"/>
      <c r="M32" s="103"/>
      <c r="N32" s="103"/>
      <c r="O32" s="103"/>
      <c r="P32" s="103"/>
      <c r="Q32" s="90"/>
      <c r="R32" s="57"/>
      <c r="S32" s="57"/>
      <c r="T32" s="64"/>
    </row>
    <row r="33" spans="1:20" s="63" customFormat="1" ht="16.8" x14ac:dyDescent="0.3">
      <c r="A33" s="154" t="s">
        <v>36</v>
      </c>
      <c r="B33" s="154"/>
      <c r="C33" s="154"/>
      <c r="D33" s="154"/>
      <c r="E33" s="62"/>
      <c r="F33" s="62"/>
      <c r="G33" s="102"/>
      <c r="H33" s="102"/>
      <c r="I33" s="102"/>
      <c r="J33" s="104"/>
      <c r="K33" s="57"/>
      <c r="L33" s="57"/>
      <c r="M33" s="57"/>
      <c r="N33" s="57"/>
      <c r="O33" s="57"/>
      <c r="P33" s="57"/>
      <c r="Q33" s="103"/>
      <c r="R33" s="103"/>
      <c r="S33" s="57"/>
      <c r="T33" s="57"/>
    </row>
    <row r="34" spans="1:20" s="108" customFormat="1" ht="39.6" x14ac:dyDescent="0.3">
      <c r="A34" s="99" t="s">
        <v>1</v>
      </c>
      <c r="B34" s="99" t="s">
        <v>0</v>
      </c>
      <c r="C34" s="99" t="s">
        <v>3</v>
      </c>
      <c r="D34" s="99" t="s">
        <v>99</v>
      </c>
      <c r="E34" s="99" t="s">
        <v>2</v>
      </c>
      <c r="F34" s="99" t="s">
        <v>60</v>
      </c>
      <c r="G34" s="99" t="s">
        <v>52</v>
      </c>
      <c r="H34" s="99" t="s">
        <v>53</v>
      </c>
      <c r="I34" s="99" t="s">
        <v>54</v>
      </c>
      <c r="J34" s="99" t="s">
        <v>55</v>
      </c>
      <c r="K34" s="99" t="s">
        <v>56</v>
      </c>
      <c r="L34" s="99" t="s">
        <v>57</v>
      </c>
      <c r="M34" s="99" t="s">
        <v>58</v>
      </c>
      <c r="N34" s="99" t="s">
        <v>4</v>
      </c>
      <c r="O34" s="99" t="s">
        <v>45</v>
      </c>
      <c r="P34" s="99" t="s">
        <v>5</v>
      </c>
      <c r="Q34" s="99" t="s">
        <v>59</v>
      </c>
      <c r="R34" s="99" t="s">
        <v>102</v>
      </c>
      <c r="S34" s="105" t="s">
        <v>61</v>
      </c>
      <c r="T34" s="64"/>
    </row>
    <row r="35" spans="1:20" s="61" customFormat="1" ht="13.2" x14ac:dyDescent="0.3">
      <c r="F35" s="61" t="str">
        <f>CONCATENATE(Table_Query_from_MS_Access_Database_1[[#This Row],[RTE]],Table_Query_from_MS_Access_Database_1[[#This Row],[SEC]],Table_Query_from_MS_Access_Database_1[[#This Row],[SEQ]])</f>
        <v/>
      </c>
      <c r="J35" s="94"/>
      <c r="K35" s="94"/>
      <c r="L35" s="94"/>
      <c r="M35" s="94"/>
      <c r="N35" s="117"/>
      <c r="O35" s="117"/>
      <c r="P35" s="117"/>
      <c r="Q35" s="118"/>
      <c r="R35" s="117">
        <f>+SUM(Table_Query_from_MS_Access_Database_1[[#This Row],[HSIP]:[STP OTHER]])</f>
        <v>0</v>
      </c>
      <c r="S35" s="119">
        <f>S28-Table_Query_from_MS_Access_Database_1[TOTAL OF AMOUNT]</f>
        <v>2.8648623265326023E-4</v>
      </c>
    </row>
    <row r="36" spans="1:20" s="61" customFormat="1" ht="13.2" x14ac:dyDescent="0.3">
      <c r="A36" s="141"/>
      <c r="B36" s="141"/>
      <c r="C36" s="141"/>
      <c r="D36" s="141"/>
      <c r="E36" s="141"/>
      <c r="F36" s="141"/>
      <c r="G36" s="141"/>
      <c r="H36" s="141"/>
      <c r="I36" s="141"/>
      <c r="J36" s="94"/>
      <c r="K36" s="94"/>
      <c r="L36" s="94"/>
      <c r="M36" s="94"/>
      <c r="N36" s="142"/>
      <c r="O36" s="142"/>
      <c r="P36" s="142"/>
      <c r="Q36" s="143"/>
      <c r="R36" s="142"/>
      <c r="S36" s="144"/>
    </row>
    <row r="37" spans="1:20" s="58" customFormat="1" x14ac:dyDescent="0.3">
      <c r="A37" s="141"/>
      <c r="B37" s="141"/>
      <c r="C37" s="141"/>
      <c r="D37" s="141"/>
      <c r="E37" s="141"/>
      <c r="F37" s="141"/>
      <c r="G37" s="141"/>
      <c r="H37" s="141"/>
      <c r="I37" s="141"/>
      <c r="J37" s="94"/>
      <c r="K37" s="94"/>
      <c r="L37" s="94"/>
      <c r="M37" s="94"/>
      <c r="N37" s="142"/>
      <c r="O37" s="142"/>
      <c r="P37" s="142"/>
      <c r="Q37" s="143"/>
      <c r="R37" s="142"/>
      <c r="S37" s="144"/>
    </row>
    <row r="38" spans="1:20" s="58" customFormat="1" x14ac:dyDescent="0.3">
      <c r="A38" s="61"/>
      <c r="B38" s="61"/>
      <c r="C38" s="61"/>
      <c r="D38" s="61"/>
      <c r="E38" s="61"/>
      <c r="F38" s="61"/>
      <c r="G38" s="61"/>
      <c r="H38" s="61"/>
      <c r="I38" s="61"/>
      <c r="J38" s="64"/>
      <c r="K38" s="64"/>
      <c r="L38" s="64"/>
      <c r="M38" s="91" t="s">
        <v>103</v>
      </c>
      <c r="N38" s="120">
        <f>SUM(Table_Query_from_MS_Access_Database_1[[#All],[HSIP]])</f>
        <v>0</v>
      </c>
      <c r="O38" s="120">
        <f>SUM(Table_Query_from_MS_Access_Database_1[[#All],[PL]])</f>
        <v>0</v>
      </c>
      <c r="P38" s="120">
        <f>SUM(Table_Query_from_MS_Access_Database_1[[#All],[SPR]])</f>
        <v>0</v>
      </c>
      <c r="Q38" s="120">
        <f>SUM(Table_Query_from_MS_Access_Database_1[[#All],[STP OTHER]])</f>
        <v>0</v>
      </c>
      <c r="R38" s="120">
        <f>SUM(Table_Query_from_MS_Access_Database_1[[#All],[TOTAL OF AMOUNT]])</f>
        <v>0</v>
      </c>
      <c r="S38" s="121"/>
    </row>
    <row r="39" spans="1:20" s="58" customFormat="1" x14ac:dyDescent="0.3">
      <c r="A39" s="61"/>
      <c r="B39" s="61"/>
      <c r="C39" s="61"/>
      <c r="D39" s="61"/>
      <c r="E39" s="61"/>
      <c r="F39" s="61"/>
      <c r="G39" s="61"/>
      <c r="H39" s="61"/>
      <c r="I39" s="61"/>
      <c r="J39" s="64"/>
      <c r="K39" s="64"/>
      <c r="L39" s="64"/>
      <c r="M39" s="92" t="s">
        <v>89</v>
      </c>
      <c r="N39" s="122">
        <f>+N30-N38</f>
        <v>25561</v>
      </c>
      <c r="O39" s="122">
        <f>+O30-O38</f>
        <v>5973</v>
      </c>
      <c r="P39" s="122">
        <f>+P30-P38</f>
        <v>15245.75</v>
      </c>
      <c r="Q39" s="122">
        <f>+Q30-Q38</f>
        <v>39820</v>
      </c>
      <c r="R39" s="122">
        <f>+R30-R38</f>
        <v>86599.75</v>
      </c>
      <c r="S39" s="123"/>
    </row>
    <row r="40" spans="1:20" s="58" customFormat="1" x14ac:dyDescent="0.3">
      <c r="J40" s="60"/>
      <c r="K40" s="60"/>
      <c r="L40" s="60"/>
      <c r="M40" s="60"/>
      <c r="N40" s="60"/>
      <c r="O40" s="60"/>
      <c r="P40" s="60"/>
      <c r="Q40" s="60"/>
    </row>
    <row r="41" spans="1:20" s="58" customFormat="1" x14ac:dyDescent="0.3">
      <c r="J41" s="60"/>
      <c r="K41" s="60"/>
      <c r="L41" s="60"/>
      <c r="M41" s="60"/>
      <c r="N41" s="60"/>
      <c r="O41" s="60"/>
      <c r="P41" s="60"/>
      <c r="Q41" s="60"/>
    </row>
    <row r="42" spans="1:20" s="61" customFormat="1" x14ac:dyDescent="0.3">
      <c r="A42" s="58"/>
      <c r="B42" s="58"/>
      <c r="C42" s="58"/>
      <c r="D42" s="58"/>
      <c r="E42" s="58"/>
      <c r="F42" s="58"/>
      <c r="G42" s="58"/>
      <c r="H42" s="58"/>
      <c r="I42" s="58"/>
      <c r="J42" s="60"/>
      <c r="K42" s="60"/>
      <c r="L42" s="60"/>
      <c r="M42" s="60"/>
      <c r="N42" s="60"/>
      <c r="O42" s="60"/>
      <c r="P42" s="60"/>
      <c r="Q42" s="60"/>
      <c r="R42" s="58"/>
      <c r="S42" s="58"/>
    </row>
    <row r="43" spans="1:20" s="61" customFormat="1" ht="16.8" x14ac:dyDescent="0.3">
      <c r="A43" s="65" t="s">
        <v>92</v>
      </c>
      <c r="B43" s="58"/>
      <c r="C43" s="58"/>
      <c r="D43" s="58"/>
      <c r="E43" s="58"/>
      <c r="F43" s="58"/>
      <c r="G43" s="58"/>
      <c r="H43" s="58"/>
      <c r="I43" s="58"/>
      <c r="J43" s="60"/>
      <c r="K43" s="60"/>
      <c r="L43" s="60"/>
      <c r="M43" s="60"/>
      <c r="N43" s="152" t="s">
        <v>70</v>
      </c>
      <c r="O43" s="152"/>
      <c r="P43" s="152"/>
      <c r="Q43" s="152"/>
      <c r="R43" s="62"/>
      <c r="S43" s="58"/>
    </row>
    <row r="44" spans="1:20" s="61" customFormat="1" x14ac:dyDescent="0.3">
      <c r="A44" s="58"/>
      <c r="B44" s="58"/>
      <c r="C44" s="58"/>
      <c r="D44" s="58"/>
      <c r="E44" s="58"/>
      <c r="F44" s="58"/>
      <c r="G44" s="58"/>
      <c r="H44" s="58"/>
      <c r="I44" s="58"/>
      <c r="J44" s="60"/>
      <c r="K44" s="60"/>
      <c r="L44" s="60"/>
      <c r="M44" s="93"/>
      <c r="N44" s="95" t="s">
        <v>4</v>
      </c>
      <c r="O44" s="95" t="s">
        <v>45</v>
      </c>
      <c r="P44" s="95" t="s">
        <v>5</v>
      </c>
      <c r="Q44" s="95" t="s">
        <v>71</v>
      </c>
      <c r="R44" s="95" t="s">
        <v>62</v>
      </c>
      <c r="S44" s="72" t="s">
        <v>72</v>
      </c>
    </row>
    <row r="45" spans="1:20" s="61" customFormat="1" ht="13.2" x14ac:dyDescent="0.3">
      <c r="J45" s="64"/>
      <c r="K45" s="64"/>
      <c r="L45" s="64"/>
      <c r="M45" s="134" t="s">
        <v>166</v>
      </c>
      <c r="N45" s="115">
        <f>+N39</f>
        <v>25561</v>
      </c>
      <c r="O45" s="115">
        <f>+O39</f>
        <v>5973</v>
      </c>
      <c r="P45" s="115">
        <f>+P39-P47</f>
        <v>15245.75</v>
      </c>
      <c r="Q45" s="115">
        <f>+Q39</f>
        <v>39820</v>
      </c>
      <c r="R45" s="115">
        <f>SUM(N45:Q45)</f>
        <v>86599.75</v>
      </c>
      <c r="S45" s="115">
        <f>S37-S47</f>
        <v>0</v>
      </c>
    </row>
    <row r="46" spans="1:20" s="58" customFormat="1" x14ac:dyDescent="0.3">
      <c r="A46" s="61"/>
      <c r="B46" s="61"/>
      <c r="C46" s="61"/>
      <c r="D46" s="61"/>
      <c r="E46" s="61"/>
      <c r="F46" s="61"/>
      <c r="G46" s="61"/>
      <c r="H46" s="61"/>
      <c r="I46" s="61"/>
      <c r="J46" s="64"/>
      <c r="K46" s="64"/>
      <c r="L46" s="64"/>
      <c r="M46" s="134" t="s">
        <v>167</v>
      </c>
      <c r="N46" s="136">
        <f>SUMIFS(Table_Query_from_MS_Access_Database[[#All],[HSIP]],Table_Query_from_MS_Access_Database[[#All],[Transaction Year]],"2014",Table_Query_from_MS_Access_Database[[#All],[Transaction Type]],"Lapsing")</f>
        <v>-25561</v>
      </c>
      <c r="O46" s="136">
        <f>SUMIFS(Table_Query_from_MS_Access_Database[[#All],[PL]],Table_Query_from_MS_Access_Database[[#All],[Transaction Year]],"2014",Table_Query_from_MS_Access_Database[[#All],[Transaction Type]],"Lapsing")</f>
        <v>-5973</v>
      </c>
      <c r="P46" s="136">
        <f>SUMIFS(Table_Query_from_MS_Access_Database[[#All],[SPR]],Table_Query_from_MS_Access_Database[[#All],[Transaction Year]],"2014",Table_Query_from_MS_Access_Database[[#All],[Transaction Type]],"Lapsing")</f>
        <v>-6375</v>
      </c>
      <c r="Q46" s="136">
        <f>SUMIFS(Table_Query_from_MS_Access_Database[[#All],[STP other]],Table_Query_from_MS_Access_Database[[#All],[Transaction Year]],"2014",Table_Query_from_MS_Access_Database[[#All],[Transaction Type]],"Lapsing")</f>
        <v>-39820</v>
      </c>
      <c r="R46" s="136">
        <f>SUM(N46:Q46)</f>
        <v>-77729</v>
      </c>
      <c r="S46" s="136">
        <f>SUMIFS(Table_Query_from_MS_Access_Database_16[[#All],[Total]],Table_Query_from_MS_Access_Database_16[[#All],[Transaction Year]],"2014",Table_Query_from_MS_Access_Database_16[[#All],[Transaction Type]],"Lapsing")</f>
        <v>0</v>
      </c>
    </row>
    <row r="47" spans="1:20" x14ac:dyDescent="0.3">
      <c r="A47" s="61"/>
      <c r="B47" s="61"/>
      <c r="C47" s="61"/>
      <c r="D47" s="61"/>
      <c r="E47" s="61"/>
      <c r="F47" s="61"/>
      <c r="G47" s="61"/>
      <c r="H47" s="61"/>
      <c r="I47" s="61"/>
      <c r="J47" s="64"/>
      <c r="K47" s="64"/>
      <c r="L47" s="64"/>
      <c r="M47" s="134" t="s">
        <v>168</v>
      </c>
      <c r="N47" s="116">
        <f>SUM(N45:N46)</f>
        <v>0</v>
      </c>
      <c r="O47" s="116">
        <f>SUM(O45:O46)</f>
        <v>0</v>
      </c>
      <c r="P47" s="116">
        <v>0</v>
      </c>
      <c r="Q47" s="116">
        <f>SUM(Q45:Q46)</f>
        <v>0</v>
      </c>
      <c r="R47" s="116">
        <f>SUM(N47:Q47)</f>
        <v>0</v>
      </c>
      <c r="S47" s="116">
        <f>IF(P47&gt;S37,S37,P47)</f>
        <v>0</v>
      </c>
    </row>
    <row r="48" spans="1:20" x14ac:dyDescent="0.3">
      <c r="A48" s="61"/>
      <c r="B48" s="61"/>
      <c r="C48" s="61"/>
      <c r="D48" s="61"/>
      <c r="E48" s="61"/>
      <c r="F48" s="61"/>
      <c r="G48" s="61"/>
      <c r="H48" s="61"/>
      <c r="I48" s="61"/>
      <c r="J48" s="64"/>
      <c r="K48" s="64"/>
      <c r="L48" s="64"/>
      <c r="M48" s="135" t="s">
        <v>91</v>
      </c>
      <c r="N48" s="137">
        <v>0</v>
      </c>
      <c r="O48" s="137">
        <v>0</v>
      </c>
      <c r="P48" s="137">
        <v>0</v>
      </c>
      <c r="Q48" s="137">
        <v>0</v>
      </c>
      <c r="R48" s="137">
        <v>0</v>
      </c>
      <c r="S48" s="137">
        <v>0</v>
      </c>
    </row>
    <row r="49" spans="1:19" x14ac:dyDescent="0.3">
      <c r="A49" s="58"/>
      <c r="B49" s="58"/>
      <c r="C49" s="58"/>
      <c r="D49" s="58"/>
      <c r="E49" s="58"/>
      <c r="F49" s="58"/>
      <c r="G49" s="58"/>
      <c r="H49" s="58"/>
      <c r="I49" s="58"/>
      <c r="J49" s="60"/>
      <c r="K49" s="60"/>
      <c r="L49" s="60"/>
      <c r="M49" s="60"/>
      <c r="N49" s="60"/>
      <c r="O49" s="60"/>
      <c r="P49" s="60"/>
      <c r="Q49" s="60"/>
      <c r="R49" s="58"/>
      <c r="S49" s="58"/>
    </row>
  </sheetData>
  <sheetProtection autoFilter="0"/>
  <mergeCells count="10">
    <mergeCell ref="N43:Q43"/>
    <mergeCell ref="A1:F1"/>
    <mergeCell ref="A14:D14"/>
    <mergeCell ref="A9:L9"/>
    <mergeCell ref="N1:S1"/>
    <mergeCell ref="J14:M14"/>
    <mergeCell ref="A33:D33"/>
    <mergeCell ref="N2:R2"/>
    <mergeCell ref="A3:C4"/>
    <mergeCell ref="A5:C5"/>
  </mergeCells>
  <pageMargins left="0.5" right="0.25" top="0.75" bottom="0.75" header="0.3" footer="0.3"/>
  <pageSetup paperSize="17" scale="63"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43"/>
  <sheetViews>
    <sheetView zoomScaleNormal="100" workbookViewId="0">
      <selection sqref="A1:F1"/>
    </sheetView>
  </sheetViews>
  <sheetFormatPr defaultColWidth="19.6640625" defaultRowHeight="14.4" x14ac:dyDescent="0.3"/>
  <cols>
    <col min="1" max="1" width="18.5546875" style="25" customWidth="1"/>
    <col min="2" max="2" width="19" style="25" customWidth="1"/>
    <col min="3" max="3" width="15.44140625" style="25" customWidth="1"/>
    <col min="4" max="4" width="18.44140625" style="25" customWidth="1"/>
    <col min="5" max="5" width="11.77734375" style="25" customWidth="1"/>
    <col min="6" max="6" width="10" style="25" customWidth="1"/>
    <col min="7" max="7" width="13.44140625" style="25" customWidth="1"/>
    <col min="8" max="8" width="11.77734375" style="26" customWidth="1"/>
    <col min="9" max="10" width="9.77734375" style="25" customWidth="1"/>
    <col min="11" max="11" width="12.6640625" style="25" customWidth="1"/>
    <col min="12" max="12" width="16.5546875" style="25" customWidth="1"/>
    <col min="13" max="13" width="11.77734375" style="25" customWidth="1"/>
    <col min="14" max="14" width="15.6640625" style="25" customWidth="1"/>
    <col min="15" max="16" width="9.77734375" style="25" customWidth="1"/>
    <col min="17" max="17" width="19.5546875" style="25" customWidth="1"/>
    <col min="18" max="18" width="40.21875" style="25" customWidth="1"/>
    <col min="19" max="20" width="9.5546875" style="25" customWidth="1"/>
    <col min="21" max="21" width="11.88671875" style="25" customWidth="1"/>
    <col min="22" max="22" width="64.33203125" style="25" customWidth="1"/>
    <col min="23" max="23" width="14" style="25" customWidth="1"/>
    <col min="24" max="24" width="16.88671875" style="25" customWidth="1"/>
    <col min="25" max="25" width="12.109375" style="25" customWidth="1"/>
    <col min="26" max="26" width="16" style="25" customWidth="1"/>
    <col min="27" max="16384" width="19.6640625" style="9"/>
  </cols>
  <sheetData>
    <row r="1" spans="1:26" ht="18.600000000000001" x14ac:dyDescent="0.35">
      <c r="A1" s="163" t="str">
        <f>+'Federal Funds Transactions'!A1:F1</f>
        <v>Sun Corridor Metropolitan Planning Organization</v>
      </c>
      <c r="B1" s="163"/>
      <c r="C1" s="163"/>
      <c r="D1" s="163"/>
      <c r="E1" s="163"/>
      <c r="F1" s="163"/>
    </row>
    <row r="2" spans="1:26" x14ac:dyDescent="0.35">
      <c r="A2" s="27"/>
      <c r="B2" s="27"/>
      <c r="C2" s="27"/>
      <c r="D2" s="27"/>
      <c r="E2" s="27"/>
      <c r="F2" s="27"/>
    </row>
    <row r="3" spans="1:26" x14ac:dyDescent="0.35">
      <c r="A3" s="164" t="s">
        <v>98</v>
      </c>
      <c r="B3" s="164"/>
      <c r="C3" s="164"/>
      <c r="D3" s="164"/>
      <c r="E3" s="164"/>
      <c r="F3" s="164"/>
    </row>
    <row r="4" spans="1:26" x14ac:dyDescent="0.35">
      <c r="A4" s="28"/>
      <c r="B4" s="28"/>
      <c r="C4" s="28"/>
      <c r="D4" s="28"/>
      <c r="E4" s="28"/>
      <c r="F4" s="28"/>
    </row>
    <row r="5" spans="1:26" x14ac:dyDescent="0.35">
      <c r="A5" s="25" t="s">
        <v>97</v>
      </c>
      <c r="B5" s="71">
        <f>+'Federal Funds Transactions'!C5</f>
        <v>0</v>
      </c>
      <c r="C5" s="27"/>
      <c r="D5" s="27"/>
      <c r="E5" s="27"/>
      <c r="F5" s="27"/>
    </row>
    <row r="6" spans="1:26" x14ac:dyDescent="0.35">
      <c r="A6" s="27"/>
      <c r="B6" s="27"/>
      <c r="C6" s="27"/>
      <c r="D6" s="27"/>
      <c r="E6" s="27"/>
      <c r="F6" s="27"/>
    </row>
    <row r="7" spans="1:26" ht="15" customHeight="1" x14ac:dyDescent="0.35">
      <c r="A7" s="167" t="str">
        <f>+'Federal Funds Transactions'!A9:L9</f>
        <v>IMPORTANT! Please review the information in the Notes tab for further explanation of the data in this document.</v>
      </c>
      <c r="B7" s="167"/>
      <c r="C7" s="167"/>
      <c r="D7" s="167"/>
      <c r="E7" s="167"/>
      <c r="F7" s="167"/>
      <c r="G7" s="167"/>
      <c r="H7" s="167"/>
    </row>
    <row r="9" spans="1:26" ht="15.75" customHeight="1" x14ac:dyDescent="0.35">
      <c r="A9" s="165" t="s">
        <v>95</v>
      </c>
      <c r="B9" s="165"/>
      <c r="C9" s="165"/>
      <c r="D9" s="165"/>
      <c r="E9" s="165"/>
      <c r="F9" s="165"/>
      <c r="G9" s="165"/>
      <c r="M9" s="29"/>
      <c r="N9" s="29"/>
      <c r="O9" s="29"/>
      <c r="P9" s="29"/>
      <c r="Q9" s="29"/>
      <c r="R9" s="29"/>
      <c r="S9" s="29"/>
      <c r="T9" s="29"/>
      <c r="U9" s="29"/>
      <c r="V9" s="29"/>
      <c r="W9" s="29"/>
      <c r="X9" s="29"/>
    </row>
    <row r="10" spans="1:26" ht="15.6" x14ac:dyDescent="0.35">
      <c r="A10" s="30"/>
      <c r="B10" s="30"/>
      <c r="C10" s="30"/>
      <c r="D10" s="30"/>
      <c r="E10" s="31"/>
      <c r="F10" s="31"/>
      <c r="G10" s="31"/>
      <c r="H10" s="32"/>
      <c r="I10" s="31"/>
      <c r="J10" s="31"/>
      <c r="K10" s="31"/>
      <c r="L10" s="31"/>
      <c r="M10" s="29"/>
      <c r="N10" s="29"/>
      <c r="O10" s="29"/>
      <c r="P10" s="29"/>
      <c r="Q10" s="29"/>
      <c r="R10" s="29"/>
      <c r="S10" s="29"/>
      <c r="T10" s="29"/>
      <c r="U10" s="29"/>
      <c r="V10" s="29"/>
      <c r="W10" s="29"/>
      <c r="X10" s="29"/>
      <c r="Y10" s="31"/>
      <c r="Z10" s="31"/>
    </row>
    <row r="11" spans="1:26" x14ac:dyDescent="0.3">
      <c r="A11" s="78" t="s">
        <v>49</v>
      </c>
      <c r="B11" s="79" t="s">
        <v>50</v>
      </c>
      <c r="C11" s="79" t="s">
        <v>13</v>
      </c>
      <c r="D11" s="79" t="s">
        <v>51</v>
      </c>
      <c r="E11" s="79" t="s">
        <v>10</v>
      </c>
      <c r="F11" s="79" t="s">
        <v>43</v>
      </c>
      <c r="G11" s="79" t="s">
        <v>44</v>
      </c>
      <c r="H11" s="79" t="s">
        <v>4</v>
      </c>
      <c r="I11" s="79" t="s">
        <v>45</v>
      </c>
      <c r="J11" s="79" t="s">
        <v>5</v>
      </c>
      <c r="K11" s="79" t="s">
        <v>6</v>
      </c>
      <c r="L11" s="79" t="s">
        <v>46</v>
      </c>
      <c r="M11" s="79" t="s">
        <v>47</v>
      </c>
      <c r="N11" s="79" t="s">
        <v>48</v>
      </c>
      <c r="O11" s="79" t="s">
        <v>106</v>
      </c>
      <c r="P11" s="79" t="s">
        <v>107</v>
      </c>
      <c r="Q11" s="79" t="s">
        <v>108</v>
      </c>
      <c r="R11" s="80" t="s">
        <v>109</v>
      </c>
      <c r="S11" s="31"/>
      <c r="T11" s="31"/>
      <c r="U11" s="31"/>
      <c r="V11" s="31"/>
      <c r="W11" s="9"/>
      <c r="X11" s="9"/>
      <c r="Y11" s="9"/>
      <c r="Z11" s="9"/>
    </row>
    <row r="12" spans="1:26" x14ac:dyDescent="0.3">
      <c r="A12" s="68" t="s">
        <v>135</v>
      </c>
      <c r="B12" s="66" t="s">
        <v>169</v>
      </c>
      <c r="C12" s="66" t="s">
        <v>170</v>
      </c>
      <c r="D12" s="66" t="s">
        <v>138</v>
      </c>
      <c r="E12" s="66">
        <v>-77729</v>
      </c>
      <c r="F12" s="66"/>
      <c r="G12" s="66"/>
      <c r="H12" s="66">
        <v>-25561</v>
      </c>
      <c r="I12" s="66">
        <v>-5973</v>
      </c>
      <c r="J12" s="66">
        <v>-6375</v>
      </c>
      <c r="K12" s="66">
        <v>-39820</v>
      </c>
      <c r="L12" s="66"/>
      <c r="M12" s="66"/>
      <c r="N12" s="66"/>
      <c r="O12" s="67" t="s">
        <v>129</v>
      </c>
      <c r="P12" s="67" t="s">
        <v>154</v>
      </c>
      <c r="Q12" s="67"/>
      <c r="R12" s="70" t="s">
        <v>171</v>
      </c>
      <c r="S12" s="77"/>
      <c r="T12" s="77"/>
      <c r="U12" s="77"/>
      <c r="V12" s="77"/>
      <c r="W12" s="9"/>
      <c r="X12" s="9"/>
      <c r="Y12" s="9"/>
      <c r="Z12" s="9"/>
    </row>
    <row r="13" spans="1:26" x14ac:dyDescent="0.3">
      <c r="A13" s="69" t="s">
        <v>135</v>
      </c>
      <c r="B13" s="67" t="s">
        <v>112</v>
      </c>
      <c r="C13" s="67" t="s">
        <v>141</v>
      </c>
      <c r="D13" s="67" t="s">
        <v>143</v>
      </c>
      <c r="E13" s="67">
        <v>127122</v>
      </c>
      <c r="F13" s="67"/>
      <c r="G13" s="67"/>
      <c r="H13" s="67">
        <v>127122</v>
      </c>
      <c r="I13" s="67"/>
      <c r="J13" s="67"/>
      <c r="K13" s="67"/>
      <c r="L13" s="67"/>
      <c r="M13" s="67"/>
      <c r="N13" s="67"/>
      <c r="O13" s="67" t="s">
        <v>142</v>
      </c>
      <c r="P13" s="67" t="s">
        <v>129</v>
      </c>
      <c r="Q13" s="67" t="s">
        <v>144</v>
      </c>
      <c r="R13" s="70" t="s">
        <v>145</v>
      </c>
      <c r="S13" s="77"/>
      <c r="T13" s="77"/>
      <c r="U13" s="77"/>
      <c r="V13" s="77"/>
      <c r="W13" s="9"/>
      <c r="X13" s="9"/>
      <c r="Y13" s="9"/>
      <c r="Z13" s="9"/>
    </row>
    <row r="14" spans="1:26" x14ac:dyDescent="0.3">
      <c r="A14" s="69" t="s">
        <v>135</v>
      </c>
      <c r="B14" s="67" t="s">
        <v>101</v>
      </c>
      <c r="C14" s="67" t="s">
        <v>136</v>
      </c>
      <c r="D14" s="67" t="s">
        <v>138</v>
      </c>
      <c r="E14" s="67">
        <v>158061</v>
      </c>
      <c r="F14" s="67"/>
      <c r="G14" s="67"/>
      <c r="H14" s="67"/>
      <c r="I14" s="67"/>
      <c r="J14" s="67"/>
      <c r="K14" s="67">
        <v>158061</v>
      </c>
      <c r="L14" s="67"/>
      <c r="M14" s="67"/>
      <c r="N14" s="67"/>
      <c r="O14" s="67" t="s">
        <v>137</v>
      </c>
      <c r="P14" s="67" t="s">
        <v>129</v>
      </c>
      <c r="Q14" s="67" t="s">
        <v>139</v>
      </c>
      <c r="R14" s="70" t="s">
        <v>140</v>
      </c>
      <c r="S14" s="77"/>
      <c r="T14" s="77"/>
      <c r="U14" s="77"/>
      <c r="V14" s="77"/>
      <c r="W14" s="9"/>
      <c r="X14" s="9"/>
      <c r="Y14" s="9"/>
      <c r="Z14" s="9"/>
    </row>
    <row r="15" spans="1:26" x14ac:dyDescent="0.3">
      <c r="A15" s="138" t="s">
        <v>143</v>
      </c>
      <c r="B15" s="139" t="s">
        <v>100</v>
      </c>
      <c r="C15" s="139" t="s">
        <v>141</v>
      </c>
      <c r="D15" s="139"/>
      <c r="E15" s="139">
        <v>-127122</v>
      </c>
      <c r="F15" s="139"/>
      <c r="G15" s="139"/>
      <c r="H15" s="139">
        <v>-127122</v>
      </c>
      <c r="I15" s="139"/>
      <c r="J15" s="139"/>
      <c r="K15" s="139"/>
      <c r="L15" s="139"/>
      <c r="M15" s="139"/>
      <c r="N15" s="139"/>
      <c r="O15" s="139" t="s">
        <v>129</v>
      </c>
      <c r="P15" s="139" t="s">
        <v>142</v>
      </c>
      <c r="Q15" s="139" t="s">
        <v>144</v>
      </c>
      <c r="R15" s="140" t="s">
        <v>146</v>
      </c>
      <c r="S15" s="77"/>
      <c r="T15" s="77"/>
      <c r="U15" s="77"/>
      <c r="V15" s="77"/>
      <c r="W15" s="9"/>
      <c r="X15" s="9"/>
      <c r="Y15" s="9"/>
      <c r="Z15" s="9"/>
    </row>
    <row r="16" spans="1:26" x14ac:dyDescent="0.3">
      <c r="A16" s="77"/>
      <c r="B16" s="77"/>
      <c r="C16" s="77"/>
      <c r="D16" s="77"/>
      <c r="E16" s="77"/>
      <c r="F16" s="77"/>
      <c r="G16" s="77"/>
      <c r="H16" s="77"/>
      <c r="I16" s="77"/>
      <c r="J16" s="77"/>
      <c r="K16" s="77"/>
      <c r="L16" s="77"/>
      <c r="M16" s="77"/>
      <c r="N16" s="77"/>
      <c r="O16" s="77"/>
      <c r="P16" s="77"/>
      <c r="Q16" s="77"/>
      <c r="R16" s="77"/>
      <c r="S16" s="77"/>
      <c r="T16" s="77"/>
      <c r="U16" s="77"/>
      <c r="V16" s="77"/>
      <c r="W16" s="9"/>
      <c r="X16" s="9"/>
      <c r="Y16" s="9"/>
      <c r="Z16" s="9"/>
    </row>
    <row r="17" spans="1:26" x14ac:dyDescent="0.3">
      <c r="A17" s="77"/>
      <c r="B17" s="77"/>
      <c r="C17" s="77"/>
      <c r="D17" s="77"/>
      <c r="E17" s="77"/>
      <c r="F17" s="77"/>
      <c r="G17" s="77"/>
      <c r="H17" s="77"/>
      <c r="I17" s="77"/>
      <c r="J17" s="77"/>
      <c r="K17" s="77"/>
      <c r="L17" s="77"/>
      <c r="M17" s="77"/>
      <c r="N17" s="77"/>
      <c r="O17" s="77"/>
      <c r="P17" s="77"/>
      <c r="Q17" s="77"/>
      <c r="R17" s="77"/>
      <c r="S17" s="77"/>
      <c r="T17" s="77"/>
      <c r="U17" s="77"/>
      <c r="V17" s="77"/>
      <c r="W17" s="9"/>
      <c r="X17" s="9"/>
      <c r="Y17" s="9"/>
      <c r="Z17" s="9"/>
    </row>
    <row r="18" spans="1:26" ht="15.6" x14ac:dyDescent="0.3">
      <c r="A18" s="166" t="s">
        <v>96</v>
      </c>
      <c r="B18" s="166"/>
      <c r="C18" s="166"/>
      <c r="D18" s="166"/>
      <c r="E18" s="166"/>
      <c r="F18" s="166"/>
      <c r="G18" s="166"/>
      <c r="S18" s="77"/>
      <c r="T18" s="77"/>
      <c r="U18" s="77"/>
      <c r="V18" s="77"/>
    </row>
    <row r="20" spans="1:26" x14ac:dyDescent="0.3">
      <c r="A20" s="77" t="s">
        <v>49</v>
      </c>
      <c r="B20" s="77" t="s">
        <v>50</v>
      </c>
      <c r="C20" s="77" t="s">
        <v>13</v>
      </c>
      <c r="D20" s="77" t="s">
        <v>51</v>
      </c>
      <c r="E20" s="77" t="s">
        <v>10</v>
      </c>
      <c r="F20" s="77" t="s">
        <v>43</v>
      </c>
      <c r="G20" s="77" t="s">
        <v>44</v>
      </c>
      <c r="H20" s="77" t="s">
        <v>4</v>
      </c>
      <c r="I20" s="77" t="s">
        <v>45</v>
      </c>
      <c r="J20" s="77" t="s">
        <v>5</v>
      </c>
      <c r="K20" s="77" t="s">
        <v>6</v>
      </c>
      <c r="L20" s="77" t="s">
        <v>46</v>
      </c>
      <c r="M20" s="77" t="s">
        <v>47</v>
      </c>
      <c r="N20" s="77" t="s">
        <v>48</v>
      </c>
      <c r="O20" s="77" t="s">
        <v>106</v>
      </c>
      <c r="P20" s="77" t="s">
        <v>107</v>
      </c>
      <c r="Q20" s="77" t="s">
        <v>108</v>
      </c>
      <c r="R20" s="77" t="s">
        <v>109</v>
      </c>
    </row>
    <row r="21" spans="1:26" x14ac:dyDescent="0.3">
      <c r="A21" s="31" t="s">
        <v>135</v>
      </c>
      <c r="B21" s="31" t="s">
        <v>112</v>
      </c>
      <c r="C21" s="31" t="s">
        <v>141</v>
      </c>
      <c r="D21" s="31" t="s">
        <v>143</v>
      </c>
      <c r="E21" s="31">
        <v>120639</v>
      </c>
      <c r="F21" s="31"/>
      <c r="G21" s="31"/>
      <c r="H21" s="31">
        <v>120639</v>
      </c>
      <c r="I21" s="31"/>
      <c r="J21" s="31"/>
      <c r="K21" s="31"/>
      <c r="L21" s="31"/>
      <c r="M21" s="31"/>
      <c r="N21" s="31"/>
      <c r="O21" s="77" t="s">
        <v>142</v>
      </c>
      <c r="P21" s="77" t="s">
        <v>129</v>
      </c>
      <c r="Q21" s="77" t="s">
        <v>144</v>
      </c>
      <c r="R21" s="77" t="s">
        <v>145</v>
      </c>
    </row>
    <row r="22" spans="1:26" x14ac:dyDescent="0.3">
      <c r="A22" s="77" t="s">
        <v>135</v>
      </c>
      <c r="B22" s="77" t="s">
        <v>101</v>
      </c>
      <c r="C22" s="77" t="s">
        <v>136</v>
      </c>
      <c r="D22" s="77" t="s">
        <v>138</v>
      </c>
      <c r="E22" s="77">
        <v>150000</v>
      </c>
      <c r="F22" s="77"/>
      <c r="G22" s="77"/>
      <c r="H22" s="77"/>
      <c r="I22" s="77"/>
      <c r="J22" s="77"/>
      <c r="K22" s="77">
        <v>150000</v>
      </c>
      <c r="L22" s="77"/>
      <c r="M22" s="77"/>
      <c r="N22" s="77"/>
      <c r="O22" s="77" t="s">
        <v>137</v>
      </c>
      <c r="P22" s="77" t="s">
        <v>129</v>
      </c>
      <c r="Q22" s="77" t="s">
        <v>139</v>
      </c>
      <c r="R22" s="77" t="s">
        <v>140</v>
      </c>
    </row>
    <row r="23" spans="1:26" x14ac:dyDescent="0.3">
      <c r="A23" s="77" t="s">
        <v>143</v>
      </c>
      <c r="B23" s="77" t="s">
        <v>100</v>
      </c>
      <c r="C23" s="77" t="s">
        <v>141</v>
      </c>
      <c r="D23" s="77"/>
      <c r="E23" s="77">
        <v>-120639</v>
      </c>
      <c r="F23" s="77"/>
      <c r="G23" s="77"/>
      <c r="H23" s="77">
        <v>-120639</v>
      </c>
      <c r="I23" s="77"/>
      <c r="J23" s="77"/>
      <c r="K23" s="77"/>
      <c r="L23" s="77"/>
      <c r="M23" s="77"/>
      <c r="N23" s="77"/>
      <c r="O23" s="77" t="s">
        <v>129</v>
      </c>
      <c r="P23" s="77" t="s">
        <v>142</v>
      </c>
      <c r="Q23" s="77" t="s">
        <v>144</v>
      </c>
      <c r="R23" s="77" t="s">
        <v>146</v>
      </c>
    </row>
    <row r="24" spans="1:26" x14ac:dyDescent="0.3">
      <c r="A24" s="77"/>
      <c r="B24" s="77"/>
      <c r="C24" s="77"/>
      <c r="D24" s="77"/>
      <c r="E24" s="77"/>
      <c r="F24" s="77"/>
      <c r="G24" s="77"/>
      <c r="H24" s="77"/>
      <c r="I24" s="77"/>
      <c r="J24" s="77"/>
      <c r="K24" s="77"/>
      <c r="L24" s="77"/>
      <c r="M24" s="77"/>
      <c r="N24" s="77"/>
      <c r="O24" s="77"/>
      <c r="P24" s="77"/>
      <c r="Q24" s="77"/>
      <c r="R24" s="77"/>
      <c r="S24" s="9"/>
      <c r="T24" s="9"/>
      <c r="U24" s="9"/>
      <c r="V24" s="9"/>
      <c r="W24" s="9"/>
      <c r="X24" s="9"/>
      <c r="Y24" s="9"/>
      <c r="Z24" s="9"/>
    </row>
    <row r="25" spans="1:26" x14ac:dyDescent="0.3">
      <c r="A25" s="77"/>
      <c r="B25" s="77"/>
      <c r="C25" s="77"/>
      <c r="D25" s="77"/>
      <c r="E25" s="77"/>
      <c r="F25" s="77"/>
      <c r="G25" s="77"/>
      <c r="H25" s="77"/>
      <c r="I25" s="77"/>
      <c r="J25" s="77"/>
      <c r="K25" s="77"/>
      <c r="L25" s="77"/>
      <c r="M25" s="77"/>
      <c r="N25" s="77"/>
      <c r="O25" s="77"/>
      <c r="P25" s="77"/>
      <c r="Q25" s="77"/>
      <c r="R25" s="77"/>
      <c r="S25" s="9"/>
      <c r="T25" s="9"/>
      <c r="U25" s="9"/>
      <c r="V25" s="9"/>
      <c r="W25" s="9"/>
      <c r="X25" s="9"/>
      <c r="Y25" s="9"/>
      <c r="Z25" s="9"/>
    </row>
    <row r="26" spans="1:26" x14ac:dyDescent="0.3">
      <c r="A26" s="77"/>
      <c r="B26" s="77"/>
      <c r="C26" s="77"/>
      <c r="D26" s="77"/>
      <c r="E26" s="77"/>
      <c r="F26" s="77"/>
      <c r="G26" s="77"/>
      <c r="H26" s="77"/>
      <c r="I26" s="77"/>
      <c r="J26" s="77"/>
      <c r="K26" s="77"/>
      <c r="L26" s="77"/>
      <c r="M26" s="77"/>
      <c r="N26" s="77"/>
      <c r="O26" s="77"/>
      <c r="P26" s="77"/>
      <c r="Q26" s="77"/>
      <c r="R26" s="77"/>
      <c r="S26" s="9"/>
      <c r="T26" s="9"/>
      <c r="U26" s="9"/>
      <c r="V26" s="9"/>
      <c r="W26" s="9"/>
      <c r="X26" s="9"/>
      <c r="Y26" s="9"/>
      <c r="Z26" s="9"/>
    </row>
    <row r="27" spans="1:26" x14ac:dyDescent="0.3">
      <c r="A27" s="96"/>
      <c r="B27" s="96"/>
      <c r="C27" s="96"/>
      <c r="D27" s="96"/>
      <c r="E27" s="96"/>
      <c r="F27" s="96"/>
      <c r="G27" s="96"/>
      <c r="H27" s="96"/>
      <c r="I27" s="96"/>
      <c r="J27" s="96"/>
      <c r="K27" s="96"/>
      <c r="L27" s="96"/>
      <c r="M27" s="96"/>
      <c r="N27" s="96"/>
      <c r="O27" s="96"/>
      <c r="P27" s="96"/>
      <c r="Q27" s="96"/>
      <c r="R27" s="96"/>
      <c r="S27" s="9"/>
      <c r="T27" s="9"/>
      <c r="U27" s="9"/>
      <c r="V27" s="9"/>
      <c r="W27" s="9"/>
      <c r="X27" s="9"/>
      <c r="Y27" s="9"/>
      <c r="Z27" s="9"/>
    </row>
    <row r="28" spans="1:26" x14ac:dyDescent="0.3">
      <c r="H28" s="25"/>
      <c r="S28" s="9"/>
      <c r="T28" s="9"/>
      <c r="U28" s="9"/>
      <c r="V28" s="9"/>
      <c r="W28" s="9"/>
      <c r="X28" s="9"/>
      <c r="Y28" s="9"/>
      <c r="Z28" s="9"/>
    </row>
    <row r="29" spans="1:26" x14ac:dyDescent="0.3">
      <c r="H29" s="25"/>
      <c r="S29" s="9"/>
      <c r="T29" s="9"/>
      <c r="U29" s="9"/>
      <c r="V29" s="9"/>
      <c r="W29" s="9"/>
      <c r="X29" s="9"/>
      <c r="Y29" s="9"/>
      <c r="Z29" s="9"/>
    </row>
    <row r="30" spans="1:26" x14ac:dyDescent="0.3">
      <c r="H30" s="25"/>
      <c r="S30" s="9"/>
      <c r="T30" s="9"/>
      <c r="U30" s="9"/>
      <c r="V30" s="9"/>
      <c r="W30" s="9"/>
      <c r="X30" s="9"/>
      <c r="Y30" s="9"/>
      <c r="Z30" s="9"/>
    </row>
    <row r="31" spans="1:26" x14ac:dyDescent="0.3">
      <c r="H31" s="25"/>
      <c r="S31" s="9"/>
      <c r="T31" s="9"/>
      <c r="U31" s="9"/>
      <c r="V31" s="9"/>
      <c r="W31" s="9"/>
      <c r="X31" s="9"/>
      <c r="Y31" s="9"/>
      <c r="Z31" s="9"/>
    </row>
    <row r="32" spans="1:26" x14ac:dyDescent="0.3">
      <c r="H32" s="25"/>
      <c r="W32" s="9"/>
      <c r="X32" s="9"/>
      <c r="Y32" s="9"/>
      <c r="Z32" s="9"/>
    </row>
    <row r="33" spans="1:26" x14ac:dyDescent="0.3">
      <c r="A33" s="77"/>
      <c r="B33" s="77"/>
      <c r="C33" s="77"/>
      <c r="D33" s="77"/>
      <c r="E33" s="77"/>
      <c r="F33" s="77"/>
      <c r="G33" s="77"/>
      <c r="H33" s="77"/>
      <c r="I33" s="77"/>
      <c r="J33" s="77"/>
      <c r="K33" s="77"/>
      <c r="L33" s="77"/>
      <c r="M33" s="77"/>
      <c r="N33" s="77"/>
      <c r="O33" s="77"/>
      <c r="P33" s="77"/>
      <c r="Q33" s="77"/>
      <c r="R33" s="77"/>
      <c r="W33" s="9"/>
      <c r="X33" s="9"/>
      <c r="Y33" s="9"/>
      <c r="Z33" s="9"/>
    </row>
    <row r="34" spans="1:26" x14ac:dyDescent="0.3">
      <c r="A34" s="77"/>
      <c r="B34" s="77"/>
      <c r="C34" s="77"/>
      <c r="D34" s="77"/>
      <c r="E34" s="77"/>
      <c r="F34" s="77"/>
      <c r="G34" s="77"/>
      <c r="H34" s="77"/>
      <c r="I34" s="77"/>
      <c r="J34" s="77"/>
      <c r="K34" s="77"/>
      <c r="L34" s="77"/>
      <c r="M34" s="77"/>
      <c r="N34" s="77"/>
      <c r="O34" s="77"/>
      <c r="P34" s="77"/>
      <c r="Q34" s="77"/>
      <c r="R34" s="77"/>
      <c r="W34" s="9"/>
      <c r="X34" s="9"/>
      <c r="Y34" s="9"/>
      <c r="Z34" s="9"/>
    </row>
    <row r="35" spans="1:26" x14ac:dyDescent="0.3">
      <c r="A35" s="77"/>
      <c r="B35" s="77"/>
      <c r="C35" s="77"/>
      <c r="D35" s="77"/>
      <c r="E35" s="77"/>
      <c r="F35" s="77"/>
      <c r="G35" s="77"/>
      <c r="H35" s="77"/>
      <c r="I35" s="77"/>
      <c r="J35" s="77"/>
      <c r="K35" s="77"/>
      <c r="L35" s="77"/>
      <c r="M35" s="77"/>
      <c r="N35" s="77"/>
      <c r="O35" s="77"/>
      <c r="P35" s="77"/>
      <c r="Q35" s="77"/>
      <c r="R35" s="77"/>
      <c r="W35" s="9"/>
      <c r="X35" s="9"/>
      <c r="Y35" s="9"/>
      <c r="Z35" s="9"/>
    </row>
    <row r="36" spans="1:26" x14ac:dyDescent="0.3">
      <c r="H36" s="25"/>
      <c r="W36" s="9"/>
      <c r="X36" s="9"/>
      <c r="Y36" s="9"/>
      <c r="Z36" s="9"/>
    </row>
    <row r="37" spans="1:26" x14ac:dyDescent="0.3">
      <c r="H37" s="25"/>
      <c r="W37" s="9"/>
      <c r="X37" s="9"/>
      <c r="Y37" s="9"/>
      <c r="Z37" s="9"/>
    </row>
    <row r="38" spans="1:26" x14ac:dyDescent="0.3">
      <c r="H38" s="25"/>
      <c r="W38" s="9"/>
      <c r="X38" s="9"/>
      <c r="Y38" s="9"/>
      <c r="Z38" s="9"/>
    </row>
    <row r="39" spans="1:26" x14ac:dyDescent="0.3">
      <c r="H39" s="25"/>
      <c r="W39" s="9"/>
      <c r="X39" s="9"/>
      <c r="Y39" s="9"/>
      <c r="Z39" s="9"/>
    </row>
    <row r="40" spans="1:26" x14ac:dyDescent="0.3">
      <c r="H40" s="25"/>
      <c r="W40" s="9"/>
      <c r="X40" s="9"/>
      <c r="Y40" s="9"/>
      <c r="Z40" s="9"/>
    </row>
    <row r="41" spans="1:26" x14ac:dyDescent="0.3">
      <c r="H41" s="25"/>
      <c r="W41" s="9"/>
      <c r="X41" s="9"/>
      <c r="Y41" s="9"/>
      <c r="Z41" s="9"/>
    </row>
    <row r="42" spans="1:26" x14ac:dyDescent="0.3">
      <c r="H42" s="25"/>
      <c r="W42" s="9"/>
      <c r="X42" s="9"/>
      <c r="Y42" s="9"/>
      <c r="Z42" s="9"/>
    </row>
    <row r="43" spans="1:26" x14ac:dyDescent="0.3">
      <c r="W43" s="9"/>
      <c r="X43" s="9"/>
      <c r="Y43" s="9"/>
      <c r="Z43" s="9"/>
    </row>
  </sheetData>
  <mergeCells count="5">
    <mergeCell ref="A1:F1"/>
    <mergeCell ref="A3:F3"/>
    <mergeCell ref="A9:G9"/>
    <mergeCell ref="A18:G18"/>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topLeftCell="A10" zoomScaleNormal="100" workbookViewId="0">
      <selection activeCell="B17" sqref="B17:E17"/>
    </sheetView>
  </sheetViews>
  <sheetFormatPr defaultRowHeight="14.4" x14ac:dyDescent="0.3"/>
  <cols>
    <col min="1" max="1" width="9.109375" style="1"/>
    <col min="2" max="2" width="20.6640625" customWidth="1"/>
    <col min="3" max="3" width="37.44140625" customWidth="1"/>
    <col min="4" max="4" width="15.6640625" customWidth="1"/>
    <col min="5" max="5" width="18.33203125" customWidth="1"/>
  </cols>
  <sheetData>
    <row r="1" spans="1:5" x14ac:dyDescent="0.35">
      <c r="A1" s="4" t="s">
        <v>13</v>
      </c>
      <c r="B1" s="175" t="s">
        <v>14</v>
      </c>
      <c r="C1" s="175"/>
      <c r="D1" s="175"/>
      <c r="E1" s="175"/>
    </row>
    <row r="2" spans="1:5" ht="81.75" customHeight="1" x14ac:dyDescent="0.35">
      <c r="A2" s="1">
        <v>1</v>
      </c>
      <c r="B2" s="168" t="s">
        <v>16</v>
      </c>
      <c r="C2" s="168"/>
      <c r="D2" s="168"/>
      <c r="E2" s="168"/>
    </row>
    <row r="3" spans="1:5" x14ac:dyDescent="0.35">
      <c r="B3" s="3"/>
      <c r="C3" s="3"/>
      <c r="D3" s="3"/>
      <c r="E3" s="3"/>
    </row>
    <row r="4" spans="1:5" ht="33" customHeight="1" x14ac:dyDescent="0.35">
      <c r="A4" s="1">
        <v>2</v>
      </c>
      <c r="B4" s="168" t="s">
        <v>17</v>
      </c>
      <c r="C4" s="168"/>
      <c r="D4" s="168"/>
      <c r="E4" s="168"/>
    </row>
    <row r="5" spans="1:5" x14ac:dyDescent="0.35">
      <c r="B5" s="3"/>
      <c r="C5" s="3"/>
      <c r="D5" s="3"/>
      <c r="E5" s="3"/>
    </row>
    <row r="6" spans="1:5" s="17" customFormat="1" ht="114" customHeight="1" x14ac:dyDescent="0.35">
      <c r="A6" s="18">
        <v>3</v>
      </c>
      <c r="B6" s="169" t="s">
        <v>77</v>
      </c>
      <c r="C6" s="169"/>
      <c r="D6" s="169"/>
      <c r="E6" s="169"/>
    </row>
    <row r="7" spans="1:5" s="17" customFormat="1" x14ac:dyDescent="0.35">
      <c r="A7" s="18"/>
      <c r="B7" s="19"/>
      <c r="C7" s="19"/>
      <c r="D7" s="19"/>
      <c r="E7" s="19"/>
    </row>
    <row r="8" spans="1:5" ht="18" customHeight="1" x14ac:dyDescent="0.35">
      <c r="A8" s="1">
        <v>4</v>
      </c>
      <c r="B8" s="172" t="s">
        <v>65</v>
      </c>
      <c r="C8" s="172"/>
      <c r="D8" s="8"/>
      <c r="E8" s="8"/>
    </row>
    <row r="9" spans="1:5" ht="18" customHeight="1" x14ac:dyDescent="0.35">
      <c r="B9" s="177" t="s">
        <v>66</v>
      </c>
      <c r="C9" s="177"/>
      <c r="D9" s="13">
        <v>125000</v>
      </c>
    </row>
    <row r="10" spans="1:5" ht="18" customHeight="1" x14ac:dyDescent="0.35">
      <c r="B10" s="168" t="s">
        <v>68</v>
      </c>
      <c r="C10" s="168"/>
      <c r="D10" s="12">
        <v>0</v>
      </c>
    </row>
    <row r="11" spans="1:5" ht="18" customHeight="1" x14ac:dyDescent="0.35">
      <c r="B11" s="177" t="s">
        <v>64</v>
      </c>
      <c r="C11" s="177"/>
      <c r="D11" s="14">
        <f>+D9+D10</f>
        <v>125000</v>
      </c>
    </row>
    <row r="12" spans="1:5" ht="31.5" customHeight="1" x14ac:dyDescent="0.35">
      <c r="B12" s="168" t="s">
        <v>93</v>
      </c>
      <c r="C12" s="168"/>
      <c r="D12" s="11">
        <f>125000*0.25</f>
        <v>31250</v>
      </c>
    </row>
    <row r="13" spans="1:5" ht="36.75" customHeight="1" x14ac:dyDescent="0.35">
      <c r="B13" s="177" t="s">
        <v>69</v>
      </c>
      <c r="C13" s="177"/>
      <c r="D13" s="15">
        <f>SUM(D11:D12)</f>
        <v>156250</v>
      </c>
    </row>
    <row r="14" spans="1:5" s="17" customFormat="1" ht="18" customHeight="1" x14ac:dyDescent="0.35">
      <c r="A14" s="18"/>
      <c r="B14" s="22"/>
      <c r="C14" s="22"/>
      <c r="D14" s="23"/>
    </row>
    <row r="15" spans="1:5" s="17" customFormat="1" ht="84.75" customHeight="1" x14ac:dyDescent="0.35">
      <c r="A15" s="1">
        <v>5</v>
      </c>
      <c r="B15" s="176" t="s">
        <v>67</v>
      </c>
      <c r="C15" s="176"/>
      <c r="D15" s="176"/>
      <c r="E15" s="176"/>
    </row>
    <row r="16" spans="1:5" x14ac:dyDescent="0.3">
      <c r="B16" s="3"/>
      <c r="C16" s="3"/>
      <c r="D16" s="3"/>
      <c r="E16" s="3"/>
    </row>
    <row r="17" spans="1:5" ht="83.25" customHeight="1" x14ac:dyDescent="0.3">
      <c r="A17" s="1">
        <v>6</v>
      </c>
      <c r="B17" s="168" t="s">
        <v>113</v>
      </c>
      <c r="C17" s="168"/>
      <c r="D17" s="168"/>
      <c r="E17" s="168"/>
    </row>
    <row r="18" spans="1:5" x14ac:dyDescent="0.3">
      <c r="B18" s="10"/>
      <c r="C18" s="10"/>
      <c r="D18" s="10"/>
      <c r="E18" s="10"/>
    </row>
    <row r="19" spans="1:5" ht="33" customHeight="1" x14ac:dyDescent="0.3">
      <c r="A19" s="1">
        <v>7</v>
      </c>
      <c r="B19" s="168" t="s">
        <v>38</v>
      </c>
      <c r="C19" s="168"/>
      <c r="D19" s="168"/>
      <c r="E19" s="168"/>
    </row>
    <row r="20" spans="1:5" ht="14.25" customHeight="1" x14ac:dyDescent="0.3">
      <c r="B20" s="7"/>
      <c r="C20" s="7"/>
      <c r="D20" s="7"/>
      <c r="E20" s="7"/>
    </row>
    <row r="21" spans="1:5" ht="47.25" customHeight="1" x14ac:dyDescent="0.3">
      <c r="A21" s="1">
        <v>8</v>
      </c>
      <c r="B21" s="168" t="s">
        <v>39</v>
      </c>
      <c r="C21" s="168"/>
      <c r="D21" s="168"/>
      <c r="E21" s="168"/>
    </row>
    <row r="22" spans="1:5" ht="15" customHeight="1" x14ac:dyDescent="0.3">
      <c r="B22" s="7"/>
      <c r="C22" s="7"/>
      <c r="D22" s="7"/>
      <c r="E22" s="7"/>
    </row>
    <row r="23" spans="1:5" ht="32.25" customHeight="1" x14ac:dyDescent="0.3">
      <c r="A23" s="1">
        <v>9</v>
      </c>
      <c r="B23" s="168" t="s">
        <v>37</v>
      </c>
      <c r="C23" s="168"/>
      <c r="D23" s="168"/>
      <c r="E23" s="168"/>
    </row>
    <row r="24" spans="1:5" ht="15" customHeight="1" x14ac:dyDescent="0.3">
      <c r="B24" s="7"/>
      <c r="C24" s="7"/>
      <c r="D24" s="7"/>
      <c r="E24" s="7"/>
    </row>
    <row r="25" spans="1:5" ht="33" customHeight="1" x14ac:dyDescent="0.3">
      <c r="A25" s="1">
        <v>10</v>
      </c>
      <c r="B25" s="168" t="s">
        <v>40</v>
      </c>
      <c r="C25" s="168"/>
      <c r="D25" s="168"/>
      <c r="E25" s="168"/>
    </row>
    <row r="26" spans="1:5" x14ac:dyDescent="0.3">
      <c r="B26" s="3"/>
      <c r="C26" s="3"/>
      <c r="D26" s="3"/>
      <c r="E26" s="3"/>
    </row>
    <row r="27" spans="1:5" ht="30" customHeight="1" x14ac:dyDescent="0.3">
      <c r="A27" s="1">
        <v>11</v>
      </c>
      <c r="B27" s="168" t="s">
        <v>41</v>
      </c>
      <c r="C27" s="168"/>
      <c r="D27" s="168"/>
      <c r="E27" s="168"/>
    </row>
    <row r="28" spans="1:5" x14ac:dyDescent="0.3">
      <c r="B28" s="3"/>
      <c r="C28" s="3"/>
      <c r="D28" s="3"/>
      <c r="E28" s="3"/>
    </row>
    <row r="29" spans="1:5" ht="31.5" customHeight="1" x14ac:dyDescent="0.3">
      <c r="A29" s="1">
        <v>12</v>
      </c>
      <c r="B29" s="168" t="s">
        <v>42</v>
      </c>
      <c r="C29" s="168"/>
      <c r="D29" s="168"/>
      <c r="E29" s="168"/>
    </row>
    <row r="30" spans="1:5" x14ac:dyDescent="0.3">
      <c r="B30" s="7"/>
      <c r="C30" s="7"/>
      <c r="D30" s="7"/>
      <c r="E30" s="7"/>
    </row>
    <row r="31" spans="1:5" ht="34.5" customHeight="1" x14ac:dyDescent="0.3">
      <c r="A31" s="1">
        <v>13</v>
      </c>
      <c r="B31" s="168" t="s">
        <v>18</v>
      </c>
      <c r="C31" s="168"/>
      <c r="D31" s="168"/>
      <c r="E31" s="168"/>
    </row>
    <row r="32" spans="1:5" ht="16.5" customHeight="1" x14ac:dyDescent="0.3">
      <c r="B32" s="3"/>
      <c r="C32" s="3"/>
      <c r="D32" s="3"/>
      <c r="E32" s="3"/>
    </row>
    <row r="33" spans="1:5" ht="64.5" customHeight="1" x14ac:dyDescent="0.3">
      <c r="A33" s="1">
        <v>14</v>
      </c>
      <c r="B33" s="168" t="s">
        <v>19</v>
      </c>
      <c r="C33" s="168"/>
      <c r="D33" s="168"/>
      <c r="E33" s="168"/>
    </row>
    <row r="34" spans="1:5" ht="14.25" customHeight="1" x14ac:dyDescent="0.3">
      <c r="B34" s="3"/>
      <c r="C34" s="3"/>
      <c r="D34" s="3"/>
      <c r="E34" s="3"/>
    </row>
    <row r="35" spans="1:5" x14ac:dyDescent="0.3">
      <c r="A35" s="1">
        <v>15</v>
      </c>
      <c r="B35" s="172" t="s">
        <v>34</v>
      </c>
      <c r="C35" s="172"/>
      <c r="D35" s="172"/>
      <c r="E35" s="172"/>
    </row>
    <row r="36" spans="1:5" x14ac:dyDescent="0.3">
      <c r="B36" s="16" t="s">
        <v>7</v>
      </c>
      <c r="C36" s="173" t="s">
        <v>20</v>
      </c>
      <c r="D36" s="173"/>
      <c r="E36" s="173"/>
    </row>
    <row r="37" spans="1:5" x14ac:dyDescent="0.3">
      <c r="B37" s="5" t="s">
        <v>21</v>
      </c>
      <c r="C37" s="174" t="s">
        <v>28</v>
      </c>
      <c r="D37" s="174"/>
      <c r="E37" s="174"/>
    </row>
    <row r="38" spans="1:5" x14ac:dyDescent="0.3">
      <c r="B38" s="16" t="s">
        <v>22</v>
      </c>
      <c r="C38" s="173" t="s">
        <v>29</v>
      </c>
      <c r="D38" s="173"/>
      <c r="E38" s="173"/>
    </row>
    <row r="39" spans="1:5" x14ac:dyDescent="0.3">
      <c r="B39" s="5" t="s">
        <v>23</v>
      </c>
      <c r="C39" s="174" t="s">
        <v>32</v>
      </c>
      <c r="D39" s="174"/>
      <c r="E39" s="174"/>
    </row>
    <row r="40" spans="1:5" x14ac:dyDescent="0.3">
      <c r="B40" s="16" t="s">
        <v>9</v>
      </c>
      <c r="C40" s="173" t="s">
        <v>30</v>
      </c>
      <c r="D40" s="173"/>
      <c r="E40" s="173"/>
    </row>
    <row r="41" spans="1:5" x14ac:dyDescent="0.3">
      <c r="B41" s="5" t="s">
        <v>8</v>
      </c>
      <c r="C41" s="174" t="s">
        <v>24</v>
      </c>
      <c r="D41" s="174"/>
      <c r="E41" s="174"/>
    </row>
    <row r="42" spans="1:5" x14ac:dyDescent="0.3">
      <c r="B42" s="16" t="s">
        <v>25</v>
      </c>
      <c r="C42" s="173" t="s">
        <v>26</v>
      </c>
      <c r="D42" s="173"/>
      <c r="E42" s="173"/>
    </row>
    <row r="43" spans="1:5" x14ac:dyDescent="0.3">
      <c r="B43" s="5" t="s">
        <v>27</v>
      </c>
      <c r="C43" s="174" t="s">
        <v>31</v>
      </c>
      <c r="D43" s="174"/>
      <c r="E43" s="174"/>
    </row>
    <row r="44" spans="1:5" s="17" customFormat="1" x14ac:dyDescent="0.3">
      <c r="A44" s="18"/>
      <c r="B44" s="20"/>
      <c r="C44" s="21"/>
      <c r="D44" s="21"/>
      <c r="E44" s="21"/>
    </row>
    <row r="45" spans="1:5" s="17" customFormat="1" x14ac:dyDescent="0.3">
      <c r="A45" s="18">
        <v>16</v>
      </c>
      <c r="B45" s="24" t="s">
        <v>78</v>
      </c>
      <c r="C45" s="21"/>
      <c r="D45" s="21"/>
      <c r="E45" s="21"/>
    </row>
    <row r="46" spans="1:5" s="17" customFormat="1" ht="30" customHeight="1" x14ac:dyDescent="0.3">
      <c r="A46" s="18"/>
      <c r="B46" s="16" t="s">
        <v>55</v>
      </c>
      <c r="C46" s="173" t="s">
        <v>80</v>
      </c>
      <c r="D46" s="173"/>
      <c r="E46" s="173"/>
    </row>
    <row r="47" spans="1:5" s="17" customFormat="1" x14ac:dyDescent="0.3">
      <c r="A47" s="18"/>
      <c r="B47" s="20" t="s">
        <v>56</v>
      </c>
      <c r="C47" s="174" t="s">
        <v>79</v>
      </c>
      <c r="D47" s="174"/>
      <c r="E47" s="174"/>
    </row>
    <row r="48" spans="1:5" s="17" customFormat="1" ht="48.75" customHeight="1" x14ac:dyDescent="0.3">
      <c r="A48" s="18"/>
      <c r="B48" s="16" t="s">
        <v>57</v>
      </c>
      <c r="C48" s="173" t="s">
        <v>82</v>
      </c>
      <c r="D48" s="173"/>
      <c r="E48" s="173"/>
    </row>
    <row r="49" spans="1:5" s="17" customFormat="1" ht="29.25" customHeight="1" x14ac:dyDescent="0.3">
      <c r="A49" s="18"/>
      <c r="B49" s="20" t="s">
        <v>58</v>
      </c>
      <c r="C49" s="174" t="s">
        <v>81</v>
      </c>
      <c r="D49" s="174"/>
      <c r="E49" s="174"/>
    </row>
    <row r="50" spans="1:5" x14ac:dyDescent="0.3">
      <c r="B50" s="5"/>
      <c r="C50" s="6"/>
      <c r="D50" s="6"/>
      <c r="E50" s="6"/>
    </row>
    <row r="51" spans="1:5" ht="94.5" customHeight="1" x14ac:dyDescent="0.3">
      <c r="A51" s="1">
        <v>17</v>
      </c>
      <c r="B51" s="171" t="s">
        <v>33</v>
      </c>
      <c r="C51" s="171"/>
      <c r="D51" s="171"/>
      <c r="E51" s="171"/>
    </row>
    <row r="53" spans="1:5" x14ac:dyDescent="0.3">
      <c r="B53" s="2"/>
    </row>
    <row r="54" spans="1:5" x14ac:dyDescent="0.3">
      <c r="A54" s="170" t="s">
        <v>35</v>
      </c>
      <c r="B54" s="170"/>
      <c r="C54" s="170"/>
      <c r="D54" s="170"/>
      <c r="E54" s="170"/>
    </row>
  </sheetData>
  <mergeCells count="35">
    <mergeCell ref="C46:E46"/>
    <mergeCell ref="C47:E47"/>
    <mergeCell ref="C49:E49"/>
    <mergeCell ref="C48:E48"/>
    <mergeCell ref="B29:E29"/>
    <mergeCell ref="B31:E31"/>
    <mergeCell ref="B33:E33"/>
    <mergeCell ref="B21:E21"/>
    <mergeCell ref="B23:E23"/>
    <mergeCell ref="B1:E1"/>
    <mergeCell ref="B2:E2"/>
    <mergeCell ref="B4:E4"/>
    <mergeCell ref="B15:E15"/>
    <mergeCell ref="B10:C10"/>
    <mergeCell ref="B11:C11"/>
    <mergeCell ref="B13:C13"/>
    <mergeCell ref="B12:C12"/>
    <mergeCell ref="B8:C8"/>
    <mergeCell ref="B9:C9"/>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2014-03-14T19:56:21Z</cp:lastPrinted>
  <dcterms:created xsi:type="dcterms:W3CDTF">2013-05-11T20:19:37Z</dcterms:created>
  <dcterms:modified xsi:type="dcterms:W3CDTF">2015-06-30T16:53:24Z</dcterms:modified>
</cp:coreProperties>
</file>