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queryTables/queryTable1.xml" ContentType="application/vnd.openxmlformats-officedocument.spreadsheetml.queryTable+xml"/>
  <Override PartName="/xl/tables/table3.xml" ContentType="application/vnd.openxmlformats-officedocument.spreadsheetml.table+xml"/>
  <Override PartName="/xl/queryTables/queryTable2.xml" ContentType="application/vnd.openxmlformats-officedocument.spreadsheetml.queryTable+xml"/>
  <Override PartName="/xl/tables/table4.xml" ContentType="application/vnd.openxmlformats-officedocument.spreadsheetml.table+xml"/>
  <Override PartName="/xl/queryTables/queryTable3.xml" ContentType="application/vnd.openxmlformats-officedocument.spreadsheetml.queryTable+xml"/>
  <Override PartName="/xl/tables/table5.xml" ContentType="application/vnd.openxmlformats-officedocument.spreadsheetml.table+xml"/>
  <Override PartName="/xl/queryTables/queryTable4.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0" yWindow="0" windowWidth="15480" windowHeight="4200"/>
  </bookViews>
  <sheets>
    <sheet name="Federal Funds Transactions" sheetId="1" r:id="rId1"/>
    <sheet name="Regional Loans and Transfers" sheetId="3" r:id="rId2"/>
    <sheet name="Notes" sheetId="2" r:id="rId3"/>
  </sheets>
  <definedNames>
    <definedName name="CAG_ApportLoans_qry" localSheetId="1">'Regional Loans and Transfers'!#REF!</definedName>
    <definedName name="CAG_ApportTransfers_qry_1" localSheetId="1">'Regional Loans and Transfers'!#REF!</definedName>
    <definedName name="CAG_Ledger_Authorized" localSheetId="0" hidden="1">'Federal Funds Transactions'!#REF!</definedName>
    <definedName name="CAG_Ledger_Authorized.qry_1" localSheetId="0" hidden="1">'Federal Funds Transactions'!#REF!</definedName>
    <definedName name="CAG_Ledger_Not_Authorized" localSheetId="0" hidden="1">'Federal Funds Transactions'!#REF!</definedName>
    <definedName name="CAG_Ledger_NotAuthorized.qry" localSheetId="0" hidden="1">'Federal Funds Transactions'!#REF!</definedName>
    <definedName name="CAG_OALoans_qry" localSheetId="1">'Regional Loans and Transfers'!#REF!</definedName>
    <definedName name="CAG_OATransfers_qry" localSheetId="1">'Regional Loans and Transfers'!#REF!</definedName>
    <definedName name="_xlnm.Print_Area" localSheetId="0">'Federal Funds Transactions'!$A$1:$T$35</definedName>
    <definedName name="Query_from_MS_Access_Database" localSheetId="0" hidden="1">'Federal Funds Transactions'!$A$15:$Q$30</definedName>
    <definedName name="Query_from_MS_Access_Database" localSheetId="1" hidden="1">'Regional Loans and Transfers'!$A$11:$R$23</definedName>
    <definedName name="Query_from_MS_Access_Database_1" localSheetId="0" hidden="1">'Federal Funds Transactions'!$A$35:$Q$36</definedName>
    <definedName name="Query_from_MS_Access_Database_1" localSheetId="1" hidden="1">'Regional Loans and Transfers'!$A$26:$R$37</definedName>
    <definedName name="WACOGLedgerAuthorized" localSheetId="0" hidden="1">'Federal Funds Transactions'!#REF!</definedName>
    <definedName name="WACOGqryLedgerApports" localSheetId="1" hidden="1">'Regional Loans and Transfers'!#REF!</definedName>
    <definedName name="WACOGqryLedgerOA" localSheetId="1" hidden="1">'Regional Loans and Transfers'!#REF!</definedName>
  </definedNames>
  <calcPr calcId="145621"/>
</workbook>
</file>

<file path=xl/calcChain.xml><?xml version="1.0" encoding="utf-8"?>
<calcChain xmlns="http://schemas.openxmlformats.org/spreadsheetml/2006/main">
  <c r="R46" i="1" l="1"/>
  <c r="N45" i="1"/>
  <c r="Q45" i="1"/>
  <c r="F36" i="1" l="1"/>
  <c r="R36" i="1"/>
  <c r="F16" i="1"/>
  <c r="F17" i="1"/>
  <c r="F18" i="1"/>
  <c r="F19" i="1"/>
  <c r="F20" i="1"/>
  <c r="F21" i="1"/>
  <c r="F22" i="1"/>
  <c r="F23" i="1"/>
  <c r="F24" i="1"/>
  <c r="F25" i="1"/>
  <c r="F26" i="1"/>
  <c r="F27" i="1"/>
  <c r="F28" i="1"/>
  <c r="F29" i="1"/>
  <c r="F30" i="1"/>
  <c r="R16" i="1"/>
  <c r="R17" i="1"/>
  <c r="R18" i="1"/>
  <c r="R19" i="1"/>
  <c r="R20" i="1"/>
  <c r="R21" i="1"/>
  <c r="R22" i="1"/>
  <c r="R23" i="1"/>
  <c r="R24" i="1"/>
  <c r="R25" i="1"/>
  <c r="R26" i="1"/>
  <c r="R27" i="1"/>
  <c r="R28" i="1"/>
  <c r="R29" i="1"/>
  <c r="R30" i="1"/>
  <c r="P5" i="1" l="1"/>
  <c r="Q5" i="1" l="1"/>
  <c r="S11" i="1" l="1"/>
  <c r="Q11" i="1"/>
  <c r="P11" i="1"/>
  <c r="O11" i="1"/>
  <c r="N11" i="1"/>
  <c r="S10" i="1"/>
  <c r="Q10" i="1"/>
  <c r="P10" i="1"/>
  <c r="O10" i="1"/>
  <c r="N10" i="1"/>
  <c r="S9" i="1"/>
  <c r="Q9" i="1"/>
  <c r="P9" i="1"/>
  <c r="O9" i="1"/>
  <c r="N9" i="1"/>
  <c r="S8" i="1"/>
  <c r="Q8" i="1"/>
  <c r="P8" i="1"/>
  <c r="O8" i="1"/>
  <c r="N8" i="1"/>
  <c r="S7" i="1"/>
  <c r="Q7" i="1"/>
  <c r="P7" i="1"/>
  <c r="O7" i="1"/>
  <c r="N7" i="1"/>
  <c r="S6" i="1"/>
  <c r="Q6" i="1"/>
  <c r="P6" i="1"/>
  <c r="O6" i="1"/>
  <c r="N6" i="1"/>
  <c r="D13" i="2" l="1"/>
  <c r="D11" i="2"/>
  <c r="S44" i="1"/>
  <c r="Q44" i="1"/>
  <c r="P44" i="1"/>
  <c r="O44" i="1"/>
  <c r="N44" i="1"/>
  <c r="R44" i="1" l="1"/>
  <c r="B5" i="3"/>
  <c r="N31" i="1" l="1"/>
  <c r="R4" i="1" l="1"/>
  <c r="R5" i="1" l="1"/>
  <c r="S5" i="1" s="1"/>
  <c r="S4" i="1"/>
  <c r="O37" i="1" l="1"/>
  <c r="P37" i="1"/>
  <c r="Q37" i="1"/>
  <c r="R37" i="1"/>
  <c r="N37" i="1"/>
  <c r="O31" i="1"/>
  <c r="P31" i="1"/>
  <c r="Q31" i="1"/>
  <c r="R31" i="1" l="1"/>
  <c r="O12" i="1" l="1"/>
  <c r="O32" i="1" s="1"/>
  <c r="A7" i="3" l="1"/>
  <c r="R7" i="1" l="1"/>
  <c r="R8" i="1"/>
  <c r="R9" i="1"/>
  <c r="R10" i="1"/>
  <c r="R11" i="1"/>
  <c r="P12" i="1" l="1"/>
  <c r="O38" i="1" l="1"/>
  <c r="O43" i="1" s="1"/>
  <c r="O45" i="1" s="1"/>
  <c r="P32" i="1"/>
  <c r="R6" i="1"/>
  <c r="A1" i="3" l="1"/>
  <c r="N12" i="1" l="1"/>
  <c r="N32" i="1" l="1"/>
  <c r="N38" i="1" s="1"/>
  <c r="N43" i="1" s="1"/>
  <c r="Q12" i="1"/>
  <c r="Q32" i="1" s="1"/>
  <c r="R12" i="1" l="1"/>
  <c r="P38" i="1"/>
  <c r="P43" i="1" s="1"/>
  <c r="P45" i="1" s="1"/>
  <c r="S12" i="1"/>
  <c r="S16" i="1" s="1"/>
  <c r="S17" i="1" s="1"/>
  <c r="S18" i="1" s="1"/>
  <c r="S19" i="1" s="1"/>
  <c r="S20" i="1" s="1"/>
  <c r="S21" i="1" s="1"/>
  <c r="S22" i="1" s="1"/>
  <c r="S23" i="1" s="1"/>
  <c r="S24" i="1" s="1"/>
  <c r="S25" i="1" s="1"/>
  <c r="S26" i="1" s="1"/>
  <c r="S27" i="1" s="1"/>
  <c r="S28" i="1" s="1"/>
  <c r="S29" i="1" s="1"/>
  <c r="S30" i="1" s="1"/>
  <c r="S36" i="1" s="1"/>
  <c r="Q38" i="1" l="1"/>
  <c r="Q43" i="1" s="1"/>
  <c r="R32" i="1"/>
  <c r="R38" i="1" s="1"/>
  <c r="R43" i="1" l="1"/>
  <c r="R45" i="1"/>
</calcChain>
</file>

<file path=xl/connections.xml><?xml version="1.0" encoding="utf-8"?>
<connections xmlns="http://schemas.openxmlformats.org/spreadsheetml/2006/main">
  <connection id="1" name="Query from MS Access Database" type="1" refreshedVersion="4" background="1" saveData="1">
    <dbPr connection="DSN=MS Access Database;DBQ=G:\FMS\RESOURCE\ACCESS\010614 PBPF\011614 PBPF front.accdb;DefaultDir=G:\FMS\RESOURCE\ACCESS\010614 PBPF;DriverId=25;FIL=MS Access;MaxBufferSize=2048;PageTimeout=5;" command="SELECT `10-SUNMPO LEDGER`.`ADOT#`, `10-SUNMPO LEDGER`.`TIP#`, `10-SUNMPO LEDGER`.Sponsor, `10-SUNMPO LEDGER`.`Action/15`, `10-SUNMPO LEDGER`.Location, `10-SUNMPO LEDGER`.RTE, `10-SUNMPO LEDGER`.SEC, `10-SUNMPO LEDGER`.SEQ, `10-SUNMPO LEDGER`.`PB Expected`, `10-SUNMPO LEDGER`.`PB Received`, `10-SUNMPO LEDGER`.`PF Transmitted`, `10-SUNMPO LEDGER`.`Finance Authorization`, `10-SUNMPO LEDGER`.HSIP, `10-SUNMPO LEDGER`.PL, `10-SUNMPO LEDGER`.SPR, `10-SUNMPO LEDGER`.`STP OTHER`_x000d__x000a_FROM `G:\FMS\RESOURCE\ACCESS\010614 PBPF\011614 PBPF front.accdb`.`10-SUNMPO LEDGER` `10-SUNMPO LEDGER`_x000d__x000a_WHERE (`10-SUNMPO LEDGER`.`ADOT#`&lt;&gt;'Trick') AND (`10-SUNMPO LEDGER`.`Finance Authorization`&gt;=#10/1/2015# AND `10-SUNMPO LEDGER`.`Finance Authorization`&lt;=#9/30/2016#)_x000d__x000a_ORDER BY `10-SUNMPO LEDGER`.`Finance Authorization`"/>
  </connection>
  <connection id="2" name="Query from MS Access Database1" type="1" refreshedVersion="4" background="1" saveData="1">
    <dbPr connection="DSN=MS Access Database;DBQ=G:\FMS\RESOURCE\ACCESS\010614 PBPF\011614 PBPF front.accdb;DefaultDir=G:\FMS\RESOURCE\ACCESS\010614 PBPF;DriverId=25;FIL=MS Access;MaxBufferSize=2048;PageTimeout=5;" command="SELECT `10-SUNqryLedgerApportsCrosstab`.`Transaction Year`, `10-SUNqryLedgerApportsCrosstab`.`Transaction Type`, `10-SUNqryLedgerApportsCrosstab`.Number, `10-SUNqryLedgerApportsCrosstab`.`From`, `10-SUNqryLedgerApportsCrosstab`.To, `10-SUNqryLedgerApportsCrosstab`.`Repayment Year`, `10-SUNqryLedgerApportsCrosstab`.Project8, `10-SUNqryLedgerApportsCrosstab`.Notes, `10-SUNqryLedgerApportsCrosstab`.Total, `10-SUNqryLedgerApportsCrosstab`.CMAQ, `10-SUNqryLedgerApportsCrosstab`.`CMAQ 2_5`, `10-SUNqryLedgerApportsCrosstab`.HSIP, `10-SUNqryLedgerApportsCrosstab`.PL, `10-SUNqryLedgerApportsCrosstab`.SPR, `10-SUNqryLedgerApportsCrosstab`.`STP other`, `10-SUNqryLedgerApportsCrosstab`.`STP over 200K`, `10-SUNqryLedgerApportsCrosstab`.`TA other`, `10-SUNqryLedgerApportsCrosstab`.`TA over 200K`_x000d__x000a_FROM `G:\FMS\RESOURCE\ACCESS\010614 PBPF\011614 PBPF front.accdb`.`10-SUNqryLedgerApportsCrosstab` `10-SUNqryLedgerApportsCrosstab`_x000d__x000a_WHERE (`10-SUNqryLedgerApportsCrosstab`.Total&lt;&gt;0)"/>
  </connection>
  <connection id="3" name="Query from MS Access Database2" type="1" refreshedVersion="4" background="1" saveData="1">
    <dbPr connection="DSN=MS Access Database;DBQ=G:\FMS\RESOURCE\ACCESS\010614 PBPF\011614 PBPF front.accdb;DefaultDir=G:\FMS\RESOURCE\ACCESS\010614 PBPF;DriverId=25;FIL=MS Access;MaxBufferSize=2048;PageTimeout=5;" command="SELECT `10-SUNqryLedgerOACrosstab`.`Transaction Year`, `10-SUNqryLedgerOACrosstab`.`Transaction Type`, `10-SUNqryLedgerOACrosstab`.Number, `10-SUNqryLedgerOACrosstab`.`From`, `10-SUNqryLedgerOACrosstab`.To, `10-SUNqryLedgerOACrosstab`.`Repayment Year`, `10-SUNqryLedgerOACrosstab`.Project8, `10-SUNqryLedgerOACrosstab`.Notes, `10-SUNqryLedgerOACrosstab`.Total, `10-SUNqryLedgerOACrosstab`.CMAQ, `10-SUNqryLedgerOACrosstab`.`CMAQ 2_5`, `10-SUNqryLedgerOACrosstab`.HSIP, `10-SUNqryLedgerOACrosstab`.PL, `10-SUNqryLedgerOACrosstab`.SPR, `10-SUNqryLedgerOACrosstab`.`STP other`, `10-SUNqryLedgerOACrosstab`.`STP over 200K`, `10-SUNqryLedgerOACrosstab`.`TA other`, `10-SUNqryLedgerOACrosstab`.`TA over 200K`_x000d__x000a_FROM `G:\FMS\RESOURCE\ACCESS\010614 PBPF\011614 PBPF front.accdb`.`10-SUNqryLedgerOACrosstab` `10-SUNqryLedgerOACrosstab`_x000d__x000a_WHERE (`10-SUNqryLedgerOACrosstab`.Total&lt;&gt;0)"/>
  </connection>
  <connection id="4" name="Query from MS Access Database3" type="1" refreshedVersion="4" background="1" saveData="1">
    <dbPr connection="DSN=MS Access Database;DBQ=G:\FMS\RESOURCE\ACCESS\010614 PBPF\011614 PBPF front.accdb;DefaultDir=G:\FMS\RESOURCE\ACCESS\010614 PBPF;DriverId=25;FIL=MS Access;MaxBufferSize=2048;PageTimeout=5;" command="SELECT `10-SUNMPO LEDGER`.`ADOT#`, `10-SUNMPO LEDGER`.`TIP#`, `10-SUNMPO LEDGER`.Sponsor, `10-SUNMPO LEDGER`.`Action/15`, `10-SUNMPO LEDGER`.Location, `10-SUNMPO LEDGER`.RTE, `10-SUNMPO LEDGER`.SEC, `10-SUNMPO LEDGER`.SEQ, `10-SUNMPO LEDGER`.`PB Expected`, `10-SUNMPO LEDGER`.`PB Received`, `10-SUNMPO LEDGER`.`PF Transmitted`, `10-SUNMPO LEDGER`.`Finance Authorization`, `10-SUNMPO LEDGER`.HSIP, `10-SUNMPO LEDGER`.PL, `10-SUNMPO LEDGER`.SPR, `10-SUNMPO LEDGER`.`STP OTHER`_x000d__x000a_FROM `G:\FMS\RESOURCE\ACCESS\010614 PBPF\011614 PBPF front.accdb`.`10-SUNMPO LEDGER` `10-SUNMPO LEDGER`_x000d__x000a_WHERE (`10-SUNMPO LEDGER`.`ADOT#` Not Like 'Trick') AND (`10-SUNMPO LEDGER`.`Finance Authorization` Is Null) AND ((`10-SUNMPO LEDGER`.`PB Expected`&gt;=#10/1/2015# and `PB Expected`&lt;=#9/30/2016#) OR (`10-SUNMPO LEDGER`.`PB Received`&gt;=#10/1/2015# and `PB Received`&lt;=#9/30/2016#) OR (`10-SUNMPO LEDGER`.`PF Transmitted`&gt;=#10/1/2015# and `PF Transmitted`&lt;=#9/30/2016#))_x000d__x000a_ORDER BY `10-SUNMPO LEDGER`.`ADOT#`"/>
  </connection>
</connections>
</file>

<file path=xl/sharedStrings.xml><?xml version="1.0" encoding="utf-8"?>
<sst xmlns="http://schemas.openxmlformats.org/spreadsheetml/2006/main" count="453" uniqueCount="207">
  <si>
    <t>TIP#</t>
  </si>
  <si>
    <t>ADOT#</t>
  </si>
  <si>
    <t>Location</t>
  </si>
  <si>
    <t>Sponsor</t>
  </si>
  <si>
    <t>HSIP</t>
  </si>
  <si>
    <t>SPR</t>
  </si>
  <si>
    <t>STP other</t>
  </si>
  <si>
    <t>New Auth</t>
  </si>
  <si>
    <t>MPA</t>
  </si>
  <si>
    <t>FV MPA</t>
  </si>
  <si>
    <t>Total</t>
  </si>
  <si>
    <t>Description</t>
  </si>
  <si>
    <t>APPORTIONMENTS /1</t>
  </si>
  <si>
    <t>Number</t>
  </si>
  <si>
    <t>Details</t>
  </si>
  <si>
    <t>FFY OBLIGATION AUTHORITY /2</t>
  </si>
  <si>
    <t>Apportionments represent the amount of federal funding based on formula. Apportionments generally exceed obligation authority (OA), resulting in excess apportionments that cannot be obligated. Over the life of a multi-year federal transportation program authorization, apportionments may accumulate but cannot be utilized unless Congress approves a matching amount of OA. There is no guarantee Congress will  provide the OA necessary to fully utilize apportionments.</t>
  </si>
  <si>
    <t>OA is the amount of authorized apportionments which Congress allows states to obligated in an individual year. This is the amount which FHWA will reimburse.</t>
  </si>
  <si>
    <t>Unobligated OA may be used with any category of apportionments. An equal amount of each is required to obligate funds.</t>
  </si>
  <si>
    <t xml:space="preserve">Because federal regulations require adjustment to the amount authorized within 90 days of a change in costs, finance actions may be required on projects programmed in previous fiscal years. Depending on the type of federal funds involved, these actions may reduce or increase the region's apportionments and/or OA. </t>
  </si>
  <si>
    <t>New Authorization</t>
  </si>
  <si>
    <t>Award MPA</t>
  </si>
  <si>
    <t>Convert AC</t>
  </si>
  <si>
    <t>Other</t>
  </si>
  <si>
    <t>Modified Project Agreement</t>
  </si>
  <si>
    <t>Cancel</t>
  </si>
  <si>
    <t>Project Withdrawn</t>
  </si>
  <si>
    <t>AC Auth</t>
  </si>
  <si>
    <t>Modification (increase or decrease) due to bid award</t>
  </si>
  <si>
    <t>Conversion of advanced construction balances (MAG only)</t>
  </si>
  <si>
    <t>Modification (increase or decrease) required to complete the Final Voucher and fully close the project</t>
  </si>
  <si>
    <t>AC Authorization (MAG only)</t>
  </si>
  <si>
    <t>A transaction type not otherwise listed</t>
  </si>
  <si>
    <r>
      <t xml:space="preserve">LAPSING FUNDS:  </t>
    </r>
    <r>
      <rPr>
        <sz val="11"/>
        <rFont val="Calibri"/>
        <family val="2"/>
        <scheme val="minor"/>
      </rPr>
      <t xml:space="preserve">Carried forward apportionments and obligation authority lapse pursuant to the following schedule:
</t>
    </r>
    <r>
      <rPr>
        <sz val="8"/>
        <rFont val="Wingdings"/>
        <charset val="2"/>
      </rPr>
      <t>t</t>
    </r>
    <r>
      <rPr>
        <sz val="11"/>
        <rFont val="Calibri"/>
        <family val="2"/>
        <scheme val="minor"/>
      </rPr>
      <t xml:space="preserve">   Carried forward from FFY 11 and earlier - lapses 6/30/13
</t>
    </r>
    <r>
      <rPr>
        <sz val="8"/>
        <rFont val="Wingdings"/>
        <charset val="2"/>
      </rPr>
      <t>t</t>
    </r>
    <r>
      <rPr>
        <sz val="11"/>
        <rFont val="Calibri"/>
        <family val="2"/>
        <scheme val="minor"/>
      </rPr>
      <t xml:space="preserve">   FFY 12 funds - lapses 6/30/13
</t>
    </r>
    <r>
      <rPr>
        <sz val="8"/>
        <rFont val="Wingdings"/>
        <charset val="2"/>
      </rPr>
      <t>t</t>
    </r>
    <r>
      <rPr>
        <sz val="11"/>
        <rFont val="Calibri"/>
        <family val="2"/>
        <scheme val="minor"/>
      </rPr>
      <t xml:space="preserve">   FFY 13 funds - lapses 6/30/14
</t>
    </r>
    <r>
      <rPr>
        <sz val="8"/>
        <rFont val="Wingdings"/>
        <charset val="2"/>
      </rPr>
      <t xml:space="preserve">t </t>
    </r>
    <r>
      <rPr>
        <sz val="11"/>
        <rFont val="Calibri"/>
        <family val="2"/>
        <scheme val="minor"/>
      </rPr>
      <t xml:space="preserve">Funds from FFY 14 and thereafter - lapse annually on 6/30 of the year of allocation
</t>
    </r>
  </si>
  <si>
    <t xml:space="preserve">Action types: </t>
  </si>
  <si>
    <t>Please direct questions regarding federal funding ledgers to ADOT Financial Management Services at 602-712-7441.</t>
  </si>
  <si>
    <t>NOT YET AUTHORIZED</t>
  </si>
  <si>
    <t>"Repayments In" represent loan funds being repaid to the region by another entity. Repayments In increase apportionments and/or OA. See the Apportionment and OA Loan tables for transaction detail.</t>
  </si>
  <si>
    <t>"Loans In" represent funds received by the region from another entity which must be repaid. Loans In increase apportionments and/or OA. See the Apportionment and OA Loan tables for transaction detail.</t>
  </si>
  <si>
    <t>"Loans Out" represent funds being loaned to another entity and which will be repaid to the region based upon a scheduled agreed to in advance by both entities. Loans Out decrease apportionments and/or OA. See the Apportionment and OA Loan tables for transaction detail.</t>
  </si>
  <si>
    <t>"Repayments Out" represent funds which are being repaid to another entity. Repayments Out decrease apportionments and/or OA. See the Apportionment and OA Loan tables for transaction detail.</t>
  </si>
  <si>
    <t>"Transfers  In" represent funds received by the region from another entity which will not be repaid. See the Apportionment and OA Transfer tables for transaction detail.</t>
  </si>
  <si>
    <t>"Transfers  Out" represent funds given by the region to another entity which will not be repaid. See the Apportionment and OA Transfer tables for transaction detail.</t>
  </si>
  <si>
    <t>CMAQ</t>
  </si>
  <si>
    <t>CMAQ 2_5</t>
  </si>
  <si>
    <t>PL</t>
  </si>
  <si>
    <t>STP over 200K</t>
  </si>
  <si>
    <t>TA other</t>
  </si>
  <si>
    <t>TA over 200K</t>
  </si>
  <si>
    <t>Transaction Year</t>
  </si>
  <si>
    <t>Transaction Type</t>
  </si>
  <si>
    <t>Repayment Year</t>
  </si>
  <si>
    <t>RTE</t>
  </si>
  <si>
    <t>SEC</t>
  </si>
  <si>
    <t>SEQ</t>
  </si>
  <si>
    <t>PB Expected</t>
  </si>
  <si>
    <t>PB Received</t>
  </si>
  <si>
    <t>PF Transmitted</t>
  </si>
  <si>
    <t>Finance Authorization</t>
  </si>
  <si>
    <t>STP OTHER</t>
  </si>
  <si>
    <t>FED #</t>
  </si>
  <si>
    <t>EXPECTED DECLINING BALANCE OA</t>
  </si>
  <si>
    <t>TOTAL</t>
  </si>
  <si>
    <t>SPR /4</t>
  </si>
  <si>
    <t>SPR apportionment availability for approved work program</t>
  </si>
  <si>
    <t>All OA and apportionments lapse annually on June 30th with the exception of apportionments for CMAQ, TA, and STP over 200K in MAG and PAG. Also exempt from lapsing are SPR apportionments associated with an approved work program for the following state fiscal year. For this purpose, 25% of the annual SPR allocation will be available for obligation between July 1 and September 1. The remaining 75% is available between October 1 and June 30.  See Note 4.</t>
  </si>
  <si>
    <t>APPORTIONMENTS</t>
  </si>
  <si>
    <t>STP</t>
  </si>
  <si>
    <t>OA</t>
  </si>
  <si>
    <t>HSIP/3</t>
  </si>
  <si>
    <t>AUTHORIZED FINANCE ACTIONS /14</t>
  </si>
  <si>
    <t>/ 6</t>
  </si>
  <si>
    <t>Processing Status /16</t>
  </si>
  <si>
    <r>
      <t xml:space="preserve">Available HSIP funding should be programmed </t>
    </r>
    <r>
      <rPr>
        <b/>
        <i/>
        <sz val="11"/>
        <color theme="1"/>
        <rFont val="Calibri"/>
        <family val="2"/>
        <scheme val="minor"/>
      </rPr>
      <t>only</t>
    </r>
    <r>
      <rPr>
        <sz val="11"/>
        <color theme="1"/>
        <rFont val="Calibri"/>
        <family val="2"/>
        <scheme val="minor"/>
      </rPr>
      <t xml:space="preserve"> for projects which have already met all of the following criteria: 
1) HSIP eligibility has been approved by ADOT and FHWA;  
2) An approved application is on file with ADOT by September 1 of the year prior to obligation; AND
3) The project is fully funded in the year of authorization (i.e. federal aid cannot be programmed across multiple years).
Unobligated HSIP apportionments and OA expire on June 30th each year and are not carried forward. 
</t>
    </r>
  </si>
  <si>
    <t>Processing Status:</t>
  </si>
  <si>
    <t>Date on which the request is actually received by the Program Budget office</t>
  </si>
  <si>
    <t>Date on which the finance authorization request is expected to be received by the Program Budget office for processing</t>
  </si>
  <si>
    <t>Date on which the project financing is approved by FHWA or the CFO's office as applicable</t>
  </si>
  <si>
    <t>Date on which the request is sent to FHWA (federally funded projects)or the CFO's office (RARF or other non-federal funded projects) for authorization approval</t>
  </si>
  <si>
    <t>Loans In /7</t>
  </si>
  <si>
    <t>Loans Out /8</t>
  </si>
  <si>
    <t>Repayments In /9</t>
  </si>
  <si>
    <t>Repayments Out  /10</t>
  </si>
  <si>
    <t>Transfers In /11</t>
  </si>
  <si>
    <t>Transfers Out /12</t>
  </si>
  <si>
    <t>Remaining Apportionments</t>
  </si>
  <si>
    <t>Total Used</t>
  </si>
  <si>
    <t>LAPSING FUNDS /17</t>
  </si>
  <si>
    <t>CURRENT YEAR FUNDS</t>
  </si>
  <si>
    <t>APPORTIONMENT LOANS, REPAYMENTS AND TRANSFERS /see Notes 7 - 12</t>
  </si>
  <si>
    <t>OA LOANS, REPAYMENTS AND TRANSFERS /see Notes 7 - 12</t>
  </si>
  <si>
    <t xml:space="preserve">Federal Aid Transaction Ledger
</t>
  </si>
  <si>
    <t>Data as of:</t>
  </si>
  <si>
    <t xml:space="preserve">Federal Aid Regional Loans and Transfers Ledger
</t>
  </si>
  <si>
    <t>Action/15</t>
  </si>
  <si>
    <t>Repayment Out</t>
  </si>
  <si>
    <t>Transfer In</t>
  </si>
  <si>
    <t>TOTAL OF AMOUNT</t>
  </si>
  <si>
    <t>Expected Totals</t>
  </si>
  <si>
    <r>
      <rPr>
        <b/>
        <sz val="11"/>
        <color rgb="FFFF0000"/>
        <rFont val="Arial Unicode MS"/>
        <family val="2"/>
      </rPr>
      <t xml:space="preserve">IMPORTANT! </t>
    </r>
    <r>
      <rPr>
        <sz val="11"/>
        <color theme="1"/>
        <rFont val="Arial Unicode MS"/>
        <family val="2"/>
      </rPr>
      <t>Please review the information in the Notes tab for further explanation of the data in this document.</t>
    </r>
  </si>
  <si>
    <r>
      <t xml:space="preserve">FFY Total Available 
</t>
    </r>
    <r>
      <rPr>
        <b/>
        <sz val="9"/>
        <color rgb="FFFF0000"/>
        <rFont val="Arial Unicode MS"/>
        <family val="2"/>
      </rPr>
      <t xml:space="preserve">**LAPSES ON 6/30** </t>
    </r>
    <r>
      <rPr>
        <sz val="9"/>
        <rFont val="Arial Unicode MS"/>
        <family val="2"/>
      </rPr>
      <t>/13</t>
    </r>
  </si>
  <si>
    <t>From</t>
  </si>
  <si>
    <t>To</t>
  </si>
  <si>
    <t>Project8</t>
  </si>
  <si>
    <t>Notes</t>
  </si>
  <si>
    <t>DECLINING BALANCE OA</t>
  </si>
  <si>
    <t>Sun Corridor Metropolitan Planning Organization</t>
  </si>
  <si>
    <r>
      <rPr>
        <b/>
        <sz val="11"/>
        <color rgb="FFFF0000"/>
        <rFont val="Arial Unicode MS"/>
        <family val="2"/>
      </rPr>
      <t>DRAFT</t>
    </r>
    <r>
      <rPr>
        <sz val="11"/>
        <color theme="1"/>
        <rFont val="Arial Unicode MS"/>
        <family val="2"/>
      </rPr>
      <t xml:space="preserve"> Data as of:</t>
    </r>
  </si>
  <si>
    <t>Loan In</t>
  </si>
  <si>
    <t>SUNMPO</t>
  </si>
  <si>
    <t>2014</t>
  </si>
  <si>
    <t>CAG-T002</t>
  </si>
  <si>
    <t>CAG</t>
  </si>
  <si>
    <t>None</t>
  </si>
  <si>
    <t>SZ130</t>
  </si>
  <si>
    <t>STP Transfer to SCMPO from SUNMPO</t>
  </si>
  <si>
    <t>WACOG14-L004</t>
  </si>
  <si>
    <t>WACOG</t>
  </si>
  <si>
    <t>2016</t>
  </si>
  <si>
    <t>SCMPO SAFTEY PLAN</t>
  </si>
  <si>
    <t>WACOG HSIP LOAN TO SUNPMO</t>
  </si>
  <si>
    <t>WACOG HSIP LOAN TO SUNPMO REPAYMENT</t>
  </si>
  <si>
    <t>ADOT</t>
  </si>
  <si>
    <r>
      <t xml:space="preserve">Carry Forward
</t>
    </r>
    <r>
      <rPr>
        <sz val="9"/>
        <color rgb="FFFF0000"/>
        <rFont val="Arial Unicode MS"/>
        <family val="2"/>
      </rPr>
      <t>**</t>
    </r>
    <r>
      <rPr>
        <b/>
        <sz val="9"/>
        <color rgb="FFFF0000"/>
        <rFont val="Arial Unicode MS"/>
        <family val="2"/>
      </rPr>
      <t>LAPSES ON 6/30**</t>
    </r>
    <r>
      <rPr>
        <b/>
        <sz val="10"/>
        <rFont val="Calibri"/>
        <family val="2"/>
        <scheme val="minor"/>
      </rPr>
      <t/>
    </r>
  </si>
  <si>
    <t>Current FFY
Apportionments /5</t>
  </si>
  <si>
    <t>Lapsing</t>
  </si>
  <si>
    <t>SUNMPO-LP01</t>
  </si>
  <si>
    <t>SUNMPO LAPSING FUNDS - FFY14</t>
  </si>
  <si>
    <t>2015</t>
  </si>
  <si>
    <t>NACOG-15L1</t>
  </si>
  <si>
    <t>NACOG</t>
  </si>
  <si>
    <t>NACOG Loan to SCMPO</t>
  </si>
  <si>
    <t>Loan Out</t>
  </si>
  <si>
    <t>SCMPO-15L1</t>
  </si>
  <si>
    <t>2017</t>
  </si>
  <si>
    <t>SCMPO Loan to CAG</t>
  </si>
  <si>
    <t>Repayment In</t>
  </si>
  <si>
    <t>Federal Fiscal Year 2016</t>
  </si>
  <si>
    <t>Planned Lapsing - 06/30/16</t>
  </si>
  <si>
    <t>Lapsed - 07/01/16</t>
  </si>
  <si>
    <t>Planned Lapsing - 09/30/16</t>
  </si>
  <si>
    <t>Carry Forward to FFY 17</t>
  </si>
  <si>
    <t>State FY 16 Approved work program amount</t>
  </si>
  <si>
    <t>State FY 16 amount authorized prior to 09/30/15 or Lapsed funding</t>
  </si>
  <si>
    <t xml:space="preserve">State FY 16 amount available for authorization 10/01/15 - 06/30/16 </t>
  </si>
  <si>
    <t>State FY 17 amount avaiilable for authorization 07/1/16 - 09/30/16 (request must be submitted by 09/01/16)</t>
  </si>
  <si>
    <t>Total SPR apportionments for Federal Fiscal Year 16 (as shown on ledger)</t>
  </si>
  <si>
    <t>SH64801C</t>
  </si>
  <si>
    <t>CSG HSIP15-010C</t>
  </si>
  <si>
    <t>CASA GRANDE</t>
  </si>
  <si>
    <t>VARIOUS LOCATIONS PED HEADS, CASA GRANDE</t>
  </si>
  <si>
    <t>CSG</t>
  </si>
  <si>
    <t>0</t>
  </si>
  <si>
    <t>204</t>
  </si>
  <si>
    <t>SH64701C</t>
  </si>
  <si>
    <t>ELY HSIP15-013C</t>
  </si>
  <si>
    <t>ELOY</t>
  </si>
  <si>
    <t>VARIOUS LOCATIONS IN ELOY</t>
  </si>
  <si>
    <t>ELY</t>
  </si>
  <si>
    <t>205</t>
  </si>
  <si>
    <t>RLTAP21P</t>
  </si>
  <si>
    <t>VARIOUS</t>
  </si>
  <si>
    <t>LTAP - FY16</t>
  </si>
  <si>
    <t>094</t>
  </si>
  <si>
    <t>A</t>
  </si>
  <si>
    <t>PS40122P</t>
  </si>
  <si>
    <t>SCMPO 2016 WP - SPR</t>
  </si>
  <si>
    <t>000</t>
  </si>
  <si>
    <t>P</t>
  </si>
  <si>
    <t>188</t>
  </si>
  <si>
    <t>SCMPO 2017 WP - SPR</t>
  </si>
  <si>
    <t>SH61801C</t>
  </si>
  <si>
    <t>CLG14-01C</t>
  </si>
  <si>
    <t>COOLIDGE</t>
  </si>
  <si>
    <t>CITYWIDE STRIPING</t>
  </si>
  <si>
    <t>CLG</t>
  </si>
  <si>
    <t>206</t>
  </si>
  <si>
    <t>CSG HSIP 15-01601D</t>
  </si>
  <si>
    <t>FLORENCE BLVD; PEDSTRIAN SAFETY IMPROVEMENTS</t>
  </si>
  <si>
    <t>PSC1501P</t>
  </si>
  <si>
    <t>SCMPO - 2015 WP STP - HPMS</t>
  </si>
  <si>
    <t>999</t>
  </si>
  <si>
    <t>481</t>
  </si>
  <si>
    <t>PL40122P</t>
  </si>
  <si>
    <t>SUN CORRIDER MPO FY 2016</t>
  </si>
  <si>
    <t>V</t>
  </si>
  <si>
    <t>SZ05803D</t>
  </si>
  <si>
    <t>ELO13-01D</t>
  </si>
  <si>
    <t>Eloy Main St; Frontier Rd.</t>
  </si>
  <si>
    <t>200</t>
  </si>
  <si>
    <t>The  OA to apportionments for FFY 16 is 94.9%.  The rate for calculations is 0.949331239483705.</t>
  </si>
  <si>
    <t>T005501D</t>
  </si>
  <si>
    <t>SCMPOMAG-16L1</t>
  </si>
  <si>
    <t>MAG</t>
  </si>
  <si>
    <t>SCMPO STP Loan to MAG</t>
  </si>
  <si>
    <t>SCMPOADOT-16L1</t>
  </si>
  <si>
    <t>T005501C</t>
  </si>
  <si>
    <t>SCMPO HSIP Loan to ADOT</t>
  </si>
  <si>
    <t>SS87303D</t>
  </si>
  <si>
    <t xml:space="preserve">COOLIDGE AVENUE - AZ BLVD TO 1ST STREET           </t>
  </si>
  <si>
    <t>475</t>
  </si>
  <si>
    <t>PSC1702P</t>
  </si>
  <si>
    <t>SCMPO FY17 WORK PROGRAM - PL</t>
  </si>
  <si>
    <t>SCM</t>
  </si>
  <si>
    <t>017</t>
  </si>
  <si>
    <t>PSC1701P</t>
  </si>
  <si>
    <t>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</si>
</sst>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_);[Red]\(&quot;$&quot;#,##0.00\)"/>
    <numFmt numFmtId="44" formatCode="_(&quot;$&quot;* #,##0.00_);_(&quot;$&quot;* \(#,##0.00\);_(&quot;$&quot;* &quot;-&quot;??_);_(@_)"/>
    <numFmt numFmtId="43" formatCode="_(* #,##0.00_);_(* \(#,##0.00\);_(* &quot;-&quot;??_);_(@_)"/>
  </numFmts>
  <fonts count="44"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2"/>
      <name val="Calibri"/>
      <family val="2"/>
      <scheme val="minor"/>
    </font>
    <font>
      <b/>
      <sz val="14"/>
      <color theme="1"/>
      <name val="Calibri"/>
      <family val="2"/>
      <scheme val="minor"/>
    </font>
    <font>
      <b/>
      <sz val="11"/>
      <color rgb="FFFF0000"/>
      <name val="Calibri"/>
      <family val="2"/>
      <scheme val="minor"/>
    </font>
    <font>
      <sz val="8"/>
      <name val="Wingdings"/>
      <charset val="2"/>
    </font>
    <font>
      <sz val="10"/>
      <color indexed="8"/>
      <name val="Arial"/>
      <family val="2"/>
    </font>
    <font>
      <sz val="11"/>
      <color indexed="8"/>
      <name val="Calibri"/>
      <family val="2"/>
    </font>
    <font>
      <b/>
      <sz val="10"/>
      <name val="Calibri"/>
      <family val="2"/>
      <scheme val="minor"/>
    </font>
    <font>
      <b/>
      <i/>
      <sz val="11"/>
      <color theme="1"/>
      <name val="Calibri"/>
      <family val="2"/>
      <scheme val="minor"/>
    </font>
    <font>
      <b/>
      <sz val="11"/>
      <color indexed="8"/>
      <name val="Calibri"/>
      <family val="2"/>
    </font>
    <font>
      <sz val="11"/>
      <color theme="1"/>
      <name val="Calibri"/>
      <family val="2"/>
      <scheme val="minor"/>
    </font>
    <font>
      <sz val="11"/>
      <color theme="1"/>
      <name val="Arial Unicode MS"/>
      <family val="2"/>
    </font>
    <font>
      <b/>
      <sz val="16"/>
      <color rgb="FFFF0000"/>
      <name val="Arial Unicode MS"/>
      <family val="2"/>
    </font>
    <font>
      <b/>
      <sz val="11"/>
      <color theme="1"/>
      <name val="Arial Unicode MS"/>
      <family val="2"/>
    </font>
    <font>
      <b/>
      <sz val="10"/>
      <color theme="0"/>
      <name val="Arial Unicode MS"/>
      <family val="2"/>
    </font>
    <font>
      <b/>
      <sz val="9"/>
      <color theme="0"/>
      <name val="Arial Unicode MS"/>
      <family val="2"/>
    </font>
    <font>
      <b/>
      <sz val="9"/>
      <name val="Arial Unicode MS"/>
      <family val="2"/>
    </font>
    <font>
      <sz val="9"/>
      <color theme="1"/>
      <name val="Arial Unicode MS"/>
      <family val="2"/>
    </font>
    <font>
      <sz val="9"/>
      <color rgb="FFFF0000"/>
      <name val="Arial Unicode MS"/>
      <family val="2"/>
    </font>
    <font>
      <b/>
      <sz val="9"/>
      <color rgb="FFFF0000"/>
      <name val="Arial Unicode MS"/>
      <family val="2"/>
    </font>
    <font>
      <b/>
      <sz val="10"/>
      <color theme="1"/>
      <name val="Arial Unicode MS"/>
      <family val="2"/>
    </font>
    <font>
      <sz val="10"/>
      <color theme="1"/>
      <name val="Arial Unicode MS"/>
      <family val="2"/>
    </font>
    <font>
      <b/>
      <sz val="11"/>
      <color rgb="FFFF0000"/>
      <name val="Arial Unicode MS"/>
      <family val="2"/>
    </font>
    <font>
      <b/>
      <sz val="9"/>
      <color theme="1"/>
      <name val="Arial Unicode MS"/>
      <family val="2"/>
    </font>
    <font>
      <sz val="9"/>
      <name val="Arial Unicode MS"/>
      <family val="2"/>
    </font>
    <font>
      <b/>
      <sz val="12"/>
      <name val="Arial Unicode MS"/>
      <family val="2"/>
    </font>
    <font>
      <b/>
      <sz val="10"/>
      <name val="Arial Unicode MS"/>
      <family val="2"/>
    </font>
    <font>
      <sz val="11"/>
      <color theme="1"/>
      <name val="Calibri"/>
      <family val="2"/>
      <scheme val="minor"/>
    </font>
    <font>
      <sz val="11"/>
      <color theme="1"/>
      <name val="Calibri"/>
      <family val="2"/>
      <scheme val="minor"/>
    </font>
    <font>
      <sz val="9"/>
      <color theme="1"/>
      <name val="Arial Unicode MS"/>
      <family val="2"/>
    </font>
    <font>
      <sz val="9"/>
      <name val="Arial Unicode MS"/>
      <family val="2"/>
    </font>
    <font>
      <sz val="9"/>
      <color theme="1"/>
      <name val="Arial Unicode MS"/>
      <family val="2"/>
    </font>
    <font>
      <sz val="9"/>
      <name val="Arial Unicode MS"/>
      <family val="2"/>
    </font>
    <font>
      <sz val="11"/>
      <color theme="1"/>
      <name val="Calibri"/>
      <family val="2"/>
      <scheme val="minor"/>
    </font>
    <font>
      <sz val="9"/>
      <color theme="1"/>
      <name val="Arial Unicode MS"/>
      <family val="2"/>
    </font>
    <font>
      <sz val="9"/>
      <name val="Arial Unicode MS"/>
      <family val="2"/>
    </font>
    <font>
      <sz val="11"/>
      <color theme="1"/>
      <name val="Calibri"/>
      <family val="2"/>
      <scheme val="minor"/>
    </font>
    <font>
      <sz val="9"/>
      <color theme="1"/>
      <name val="Arial Unicode MS"/>
      <family val="2"/>
    </font>
    <font>
      <sz val="9"/>
      <name val="Arial Unicode MS"/>
      <family val="2"/>
    </font>
    <font>
      <sz val="9"/>
      <color theme="1"/>
      <name val="Arial Unicode MS"/>
    </font>
    <font>
      <sz val="9"/>
      <name val="Arial Unicode MS"/>
    </font>
  </fonts>
  <fills count="6">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
      <patternFill patternType="solid">
        <fgColor rgb="FFFFFFCC"/>
        <bgColor indexed="64"/>
      </patternFill>
    </fill>
    <fill>
      <patternFill patternType="solid">
        <fgColor rgb="FFFFFFCC"/>
        <bgColor theme="8"/>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xf numFmtId="44" fontId="1" fillId="0" borderId="0" applyFont="0" applyFill="0" applyBorder="0" applyAlignment="0" applyProtection="0"/>
    <xf numFmtId="0" fontId="8" fillId="0" borderId="0"/>
    <xf numFmtId="43" fontId="1" fillId="0" borderId="0" applyFont="0" applyFill="0" applyBorder="0" applyAlignment="0" applyProtection="0"/>
  </cellStyleXfs>
  <cellXfs count="222">
    <xf numFmtId="0" fontId="0" fillId="0" borderId="0" xfId="0"/>
    <xf numFmtId="0" fontId="0" fillId="0" borderId="0" xfId="0" applyAlignment="1">
      <alignment horizontal="center" vertical="top"/>
    </xf>
    <xf numFmtId="0" fontId="0" fillId="0" borderId="0" xfId="0" applyAlignment="1">
      <alignment horizontal="left" indent="2"/>
    </xf>
    <xf numFmtId="0" fontId="0" fillId="0" borderId="0" xfId="0" applyAlignment="1">
      <alignment horizontal="left" vertical="top" wrapText="1"/>
    </xf>
    <xf numFmtId="0" fontId="2" fillId="0" borderId="0" xfId="0" applyFont="1" applyAlignment="1">
      <alignment horizontal="center" vertical="top"/>
    </xf>
    <xf numFmtId="0" fontId="9" fillId="0" borderId="0" xfId="2" applyFont="1" applyFill="1" applyBorder="1" applyAlignment="1">
      <alignment vertical="top" wrapText="1"/>
    </xf>
    <xf numFmtId="0" fontId="9" fillId="0" borderId="0" xfId="2" applyFont="1" applyFill="1" applyBorder="1" applyAlignment="1">
      <alignment horizontal="left" vertical="top" wrapText="1"/>
    </xf>
    <xf numFmtId="0" fontId="0" fillId="0" borderId="0" xfId="0" applyAlignment="1">
      <alignment horizontal="left" vertical="top" wrapText="1"/>
    </xf>
    <xf numFmtId="0" fontId="2" fillId="0" borderId="0" xfId="0" applyFont="1" applyAlignment="1">
      <alignment vertical="top" wrapText="1"/>
    </xf>
    <xf numFmtId="0" fontId="0" fillId="0" borderId="0" xfId="0" applyBorder="1"/>
    <xf numFmtId="0" fontId="0" fillId="0" borderId="0" xfId="0" applyAlignment="1">
      <alignment horizontal="left" vertical="top" wrapText="1"/>
    </xf>
    <xf numFmtId="8" fontId="0" fillId="0" borderId="12" xfId="1" applyNumberFormat="1" applyFont="1" applyBorder="1" applyAlignment="1">
      <alignment vertical="top" wrapText="1"/>
    </xf>
    <xf numFmtId="8" fontId="0" fillId="0" borderId="0" xfId="1" applyNumberFormat="1" applyFont="1" applyBorder="1" applyAlignment="1">
      <alignment vertical="top" wrapText="1"/>
    </xf>
    <xf numFmtId="8" fontId="2" fillId="3" borderId="0" xfId="1" applyNumberFormat="1" applyFont="1" applyFill="1" applyBorder="1" applyAlignment="1">
      <alignment vertical="top" wrapText="1"/>
    </xf>
    <xf numFmtId="8" fontId="0" fillId="3" borderId="0" xfId="1" applyNumberFormat="1" applyFont="1" applyFill="1" applyBorder="1" applyAlignment="1">
      <alignment vertical="top" wrapText="1"/>
    </xf>
    <xf numFmtId="8" fontId="0" fillId="3" borderId="0" xfId="1" applyNumberFormat="1" applyFont="1" applyFill="1" applyAlignment="1">
      <alignment vertical="top" wrapText="1"/>
    </xf>
    <xf numFmtId="0" fontId="9" fillId="3" borderId="0" xfId="2" applyFont="1" applyFill="1" applyBorder="1" applyAlignment="1">
      <alignment vertical="top" wrapText="1"/>
    </xf>
    <xf numFmtId="0" fontId="0" fillId="0" borderId="0" xfId="0"/>
    <xf numFmtId="0" fontId="0" fillId="0" borderId="0" xfId="0" applyAlignment="1">
      <alignment horizontal="center" vertical="top"/>
    </xf>
    <xf numFmtId="0" fontId="0" fillId="0" borderId="0" xfId="0" applyAlignment="1">
      <alignment horizontal="left" vertical="top" wrapText="1"/>
    </xf>
    <xf numFmtId="0" fontId="9" fillId="0" borderId="0" xfId="2" applyFont="1" applyFill="1" applyBorder="1" applyAlignment="1">
      <alignment vertical="top" wrapText="1"/>
    </xf>
    <xf numFmtId="0" fontId="9" fillId="0" borderId="0" xfId="2" applyFont="1" applyFill="1" applyBorder="1" applyAlignment="1">
      <alignment horizontal="left" vertical="top" wrapText="1"/>
    </xf>
    <xf numFmtId="0" fontId="0" fillId="0" borderId="0" xfId="0" applyFill="1" applyAlignment="1">
      <alignment horizontal="left" vertical="top" wrapText="1"/>
    </xf>
    <xf numFmtId="8" fontId="0" fillId="0" borderId="0" xfId="1" applyNumberFormat="1" applyFont="1" applyFill="1" applyAlignment="1">
      <alignment vertical="top" wrapText="1"/>
    </xf>
    <xf numFmtId="0" fontId="12" fillId="0" borderId="0" xfId="2" applyFont="1" applyFill="1" applyBorder="1" applyAlignment="1">
      <alignment vertical="top" wrapText="1"/>
    </xf>
    <xf numFmtId="43" fontId="0" fillId="0" borderId="0" xfId="3" applyFont="1"/>
    <xf numFmtId="43" fontId="0" fillId="0" borderId="0" xfId="3" applyFont="1" applyAlignment="1">
      <alignment wrapText="1"/>
    </xf>
    <xf numFmtId="43" fontId="0" fillId="0" borderId="0" xfId="3" applyFont="1" applyAlignment="1">
      <alignment vertical="top" wrapText="1"/>
    </xf>
    <xf numFmtId="43" fontId="2" fillId="0" borderId="0" xfId="3" applyFont="1" applyAlignment="1">
      <alignment horizontal="left" vertical="top" wrapText="1"/>
    </xf>
    <xf numFmtId="43" fontId="0" fillId="0" borderId="0" xfId="3" applyFont="1" applyBorder="1" applyAlignment="1">
      <alignment vertical="top" wrapText="1"/>
    </xf>
    <xf numFmtId="43" fontId="4" fillId="0" borderId="0" xfId="3" applyFont="1" applyBorder="1" applyAlignment="1">
      <alignment horizontal="left" vertical="top" wrapText="1"/>
    </xf>
    <xf numFmtId="43" fontId="0" fillId="0" borderId="0" xfId="3" applyFont="1" applyBorder="1"/>
    <xf numFmtId="43" fontId="0" fillId="0" borderId="0" xfId="3" applyFont="1" applyBorder="1" applyAlignment="1">
      <alignment wrapText="1"/>
    </xf>
    <xf numFmtId="0" fontId="14" fillId="0" borderId="0" xfId="0" applyFont="1" applyAlignment="1">
      <alignment vertical="top" wrapText="1"/>
    </xf>
    <xf numFmtId="14" fontId="14" fillId="0" borderId="0" xfId="0" applyNumberFormat="1" applyFont="1" applyAlignment="1">
      <alignment vertical="top" wrapText="1"/>
    </xf>
    <xf numFmtId="14" fontId="15" fillId="0" borderId="0" xfId="0" applyNumberFormat="1" applyFont="1" applyAlignment="1">
      <alignment horizontal="center" vertical="center" wrapText="1"/>
    </xf>
    <xf numFmtId="40" fontId="14" fillId="0" borderId="0" xfId="0" applyNumberFormat="1" applyFont="1" applyAlignment="1">
      <alignment vertical="top" wrapText="1"/>
    </xf>
    <xf numFmtId="40" fontId="14" fillId="0" borderId="0" xfId="1" applyNumberFormat="1" applyFont="1" applyAlignment="1">
      <alignment vertical="top" wrapText="1"/>
    </xf>
    <xf numFmtId="0" fontId="16" fillId="0" borderId="0" xfId="0" applyFont="1" applyAlignment="1">
      <alignment vertical="top" wrapText="1"/>
    </xf>
    <xf numFmtId="40" fontId="19" fillId="2" borderId="16" xfId="1" applyNumberFormat="1" applyFont="1" applyFill="1" applyBorder="1" applyAlignment="1">
      <alignment horizontal="center" vertical="center" wrapText="1"/>
    </xf>
    <xf numFmtId="0" fontId="16" fillId="0" borderId="0" xfId="0" applyFont="1" applyAlignment="1">
      <alignment horizontal="left" vertical="top" wrapText="1"/>
    </xf>
    <xf numFmtId="40" fontId="20" fillId="0" borderId="3" xfId="0" applyNumberFormat="1" applyFont="1" applyBorder="1" applyAlignment="1">
      <alignment horizontal="right" vertical="center" wrapText="1"/>
    </xf>
    <xf numFmtId="40" fontId="20" fillId="0" borderId="3" xfId="0" applyNumberFormat="1" applyFont="1" applyFill="1" applyBorder="1" applyAlignment="1">
      <alignment horizontal="right" vertical="top" wrapText="1"/>
    </xf>
    <xf numFmtId="40" fontId="20" fillId="0" borderId="1" xfId="0" applyNumberFormat="1" applyFont="1" applyFill="1" applyBorder="1" applyAlignment="1">
      <alignment horizontal="right" vertical="top" wrapText="1"/>
    </xf>
    <xf numFmtId="40" fontId="20" fillId="0" borderId="4" xfId="0" applyNumberFormat="1" applyFont="1" applyFill="1" applyBorder="1" applyAlignment="1">
      <alignment horizontal="right" vertical="top" wrapText="1"/>
    </xf>
    <xf numFmtId="49" fontId="14" fillId="0" borderId="0" xfId="1" applyNumberFormat="1" applyFont="1" applyAlignment="1">
      <alignment vertical="top" wrapText="1"/>
    </xf>
    <xf numFmtId="40" fontId="20" fillId="0" borderId="3" xfId="0" applyNumberFormat="1" applyFont="1" applyFill="1" applyBorder="1" applyAlignment="1">
      <alignment vertical="top" wrapText="1"/>
    </xf>
    <xf numFmtId="40" fontId="24" fillId="0" borderId="0" xfId="0" applyNumberFormat="1" applyFont="1" applyFill="1" applyBorder="1" applyAlignment="1">
      <alignment vertical="top" wrapText="1"/>
    </xf>
    <xf numFmtId="14" fontId="14" fillId="0" borderId="0" xfId="0" applyNumberFormat="1" applyFont="1" applyAlignment="1">
      <alignment horizontal="left" vertical="center" wrapText="1"/>
    </xf>
    <xf numFmtId="0" fontId="14" fillId="0" borderId="0" xfId="0" applyFont="1" applyAlignment="1">
      <alignment horizontal="left" vertical="top" wrapText="1"/>
    </xf>
    <xf numFmtId="40" fontId="26" fillId="0" borderId="3" xfId="0" applyNumberFormat="1" applyFont="1" applyFill="1" applyBorder="1" applyAlignment="1">
      <alignment horizontal="right" vertical="top" wrapText="1"/>
    </xf>
    <xf numFmtId="40" fontId="26" fillId="0" borderId="1" xfId="0" applyNumberFormat="1" applyFont="1" applyFill="1" applyBorder="1" applyAlignment="1">
      <alignment horizontal="right" vertical="top" wrapText="1"/>
    </xf>
    <xf numFmtId="40" fontId="23" fillId="0" borderId="0" xfId="0" applyNumberFormat="1" applyFont="1" applyBorder="1" applyAlignment="1">
      <alignment horizontal="left" vertical="top" wrapText="1"/>
    </xf>
    <xf numFmtId="40" fontId="23" fillId="0" borderId="0" xfId="0" applyNumberFormat="1" applyFont="1" applyFill="1" applyBorder="1" applyAlignment="1">
      <alignment horizontal="right" vertical="top" wrapText="1"/>
    </xf>
    <xf numFmtId="40" fontId="16" fillId="0" borderId="0" xfId="0" applyNumberFormat="1" applyFont="1" applyBorder="1" applyAlignment="1">
      <alignment vertical="top" wrapText="1"/>
    </xf>
    <xf numFmtId="40" fontId="24" fillId="0" borderId="0" xfId="0" applyNumberFormat="1" applyFont="1" applyBorder="1" applyAlignment="1">
      <alignment vertical="top" wrapText="1"/>
    </xf>
    <xf numFmtId="0" fontId="14" fillId="0" borderId="0" xfId="0" applyFont="1" applyBorder="1" applyAlignment="1">
      <alignment vertical="top" wrapText="1"/>
    </xf>
    <xf numFmtId="14" fontId="14" fillId="0" borderId="0" xfId="0" applyNumberFormat="1" applyFont="1" applyBorder="1" applyAlignment="1">
      <alignment vertical="top" wrapText="1"/>
    </xf>
    <xf numFmtId="40" fontId="14" fillId="0" borderId="0" xfId="0" applyNumberFormat="1" applyFont="1" applyBorder="1" applyAlignment="1">
      <alignment vertical="top" wrapText="1"/>
    </xf>
    <xf numFmtId="0" fontId="20" fillId="0" borderId="0" xfId="0" applyFont="1" applyBorder="1" applyAlignment="1">
      <alignment vertical="top" wrapText="1"/>
    </xf>
    <xf numFmtId="0" fontId="24" fillId="0" borderId="0" xfId="0" applyFont="1" applyBorder="1" applyAlignment="1">
      <alignment vertical="top" wrapText="1"/>
    </xf>
    <xf numFmtId="40" fontId="20" fillId="0" borderId="0" xfId="0" applyNumberFormat="1" applyFont="1" applyBorder="1" applyAlignment="1">
      <alignment vertical="top" wrapText="1"/>
    </xf>
    <xf numFmtId="0" fontId="28" fillId="0" borderId="0" xfId="0" applyFont="1" applyAlignment="1">
      <alignment horizontal="left" vertical="top"/>
    </xf>
    <xf numFmtId="43" fontId="0" fillId="0" borderId="1" xfId="3" applyFont="1" applyBorder="1"/>
    <xf numFmtId="43" fontId="13" fillId="0" borderId="1" xfId="3" applyFont="1" applyBorder="1"/>
    <xf numFmtId="43" fontId="0" fillId="0" borderId="10" xfId="3" applyFont="1" applyBorder="1"/>
    <xf numFmtId="43" fontId="13" fillId="0" borderId="10" xfId="3" applyFont="1" applyBorder="1"/>
    <xf numFmtId="43" fontId="13" fillId="0" borderId="2" xfId="3" applyFont="1" applyBorder="1"/>
    <xf numFmtId="14" fontId="0" fillId="0" borderId="0" xfId="3" applyNumberFormat="1" applyFont="1" applyAlignment="1">
      <alignment horizontal="left" vertical="center" wrapText="1"/>
    </xf>
    <xf numFmtId="14" fontId="14" fillId="0" borderId="0" xfId="0" applyNumberFormat="1" applyFont="1" applyAlignment="1">
      <alignment vertical="center" wrapText="1"/>
    </xf>
    <xf numFmtId="14" fontId="23" fillId="2" borderId="1" xfId="0" applyNumberFormat="1" applyFont="1" applyFill="1" applyBorder="1" applyAlignment="1">
      <alignment horizontal="center" vertical="center" wrapText="1"/>
    </xf>
    <xf numFmtId="14" fontId="19" fillId="0" borderId="9" xfId="1" applyNumberFormat="1" applyFont="1" applyFill="1" applyBorder="1" applyAlignment="1">
      <alignment horizontal="center" vertical="center" wrapText="1"/>
    </xf>
    <xf numFmtId="40" fontId="19" fillId="0" borderId="14" xfId="1" applyNumberFormat="1" applyFont="1" applyFill="1" applyBorder="1" applyAlignment="1">
      <alignment horizontal="center" vertical="center" wrapText="1"/>
    </xf>
    <xf numFmtId="40" fontId="19" fillId="0" borderId="5" xfId="1" applyNumberFormat="1" applyFont="1" applyFill="1" applyBorder="1" applyAlignment="1">
      <alignment horizontal="center" vertical="center" wrapText="1"/>
    </xf>
    <xf numFmtId="40" fontId="19" fillId="0" borderId="15" xfId="1" applyNumberFormat="1" applyFont="1" applyFill="1" applyBorder="1" applyAlignment="1">
      <alignment horizontal="center" vertical="center" wrapText="1"/>
    </xf>
    <xf numFmtId="43" fontId="13" fillId="0" borderId="0" xfId="3" applyFont="1" applyBorder="1"/>
    <xf numFmtId="43" fontId="0" fillId="0" borderId="8" xfId="3" applyFont="1" applyBorder="1"/>
    <xf numFmtId="43" fontId="0" fillId="0" borderId="5" xfId="3" applyFont="1" applyBorder="1"/>
    <xf numFmtId="43" fontId="0" fillId="0" borderId="9" xfId="3" applyFont="1" applyBorder="1"/>
    <xf numFmtId="40" fontId="26" fillId="0" borderId="4" xfId="0" applyNumberFormat="1" applyFont="1" applyFill="1" applyBorder="1" applyAlignment="1">
      <alignment horizontal="right" vertical="top" wrapText="1"/>
    </xf>
    <xf numFmtId="40" fontId="19" fillId="0" borderId="8" xfId="1" applyNumberFormat="1" applyFont="1" applyFill="1" applyBorder="1" applyAlignment="1">
      <alignment horizontal="center" vertical="center" wrapText="1"/>
    </xf>
    <xf numFmtId="40" fontId="20" fillId="0" borderId="10" xfId="0" applyNumberFormat="1" applyFont="1" applyFill="1" applyBorder="1" applyAlignment="1">
      <alignment horizontal="right" vertical="top" wrapText="1"/>
    </xf>
    <xf numFmtId="40" fontId="27" fillId="0" borderId="0" xfId="0" applyNumberFormat="1" applyFont="1" applyBorder="1" applyAlignment="1">
      <alignment horizontal="left" vertical="top" wrapText="1"/>
    </xf>
    <xf numFmtId="14" fontId="20" fillId="0" borderId="0" xfId="0" applyNumberFormat="1" applyFont="1" applyBorder="1" applyAlignment="1">
      <alignment horizontal="center"/>
    </xf>
    <xf numFmtId="14" fontId="26" fillId="0" borderId="0" xfId="0" applyNumberFormat="1" applyFont="1" applyBorder="1" applyAlignment="1">
      <alignment horizontal="right" vertical="top" wrapText="1"/>
    </xf>
    <xf numFmtId="14" fontId="27" fillId="0" borderId="0" xfId="0" applyNumberFormat="1" applyFont="1" applyAlignment="1">
      <alignment horizontal="center" vertical="top" wrapText="1"/>
    </xf>
    <xf numFmtId="40" fontId="26" fillId="0" borderId="5" xfId="0" applyNumberFormat="1" applyFont="1" applyBorder="1" applyAlignment="1">
      <alignment horizontal="right" vertical="top" wrapText="1"/>
    </xf>
    <xf numFmtId="40" fontId="26" fillId="0" borderId="1" xfId="0" applyNumberFormat="1" applyFont="1" applyBorder="1" applyAlignment="1">
      <alignment horizontal="right" vertical="top" wrapText="1"/>
    </xf>
    <xf numFmtId="40" fontId="23" fillId="0" borderId="0" xfId="0" applyNumberFormat="1" applyFont="1" applyBorder="1" applyAlignment="1">
      <alignment vertical="top" wrapText="1"/>
    </xf>
    <xf numFmtId="14" fontId="20" fillId="0" borderId="0" xfId="0" applyNumberFormat="1" applyFont="1" applyAlignment="1">
      <alignment vertical="top" wrapText="1"/>
    </xf>
    <xf numFmtId="40" fontId="29" fillId="5" borderId="6" xfId="0" applyNumberFormat="1" applyFont="1" applyFill="1" applyBorder="1" applyAlignment="1">
      <alignment horizontal="center" vertical="center" wrapText="1"/>
    </xf>
    <xf numFmtId="14" fontId="20" fillId="0" borderId="0" xfId="0" applyNumberFormat="1" applyFont="1" applyFill="1" applyBorder="1" applyAlignment="1">
      <alignment horizontal="center" vertical="top" wrapText="1"/>
    </xf>
    <xf numFmtId="14" fontId="20" fillId="0" borderId="0" xfId="0" applyNumberFormat="1" applyFont="1" applyBorder="1" applyAlignment="1">
      <alignment horizontal="center" vertical="top" wrapText="1"/>
    </xf>
    <xf numFmtId="40" fontId="20" fillId="0" borderId="0" xfId="0" applyNumberFormat="1" applyFont="1" applyBorder="1" applyAlignment="1">
      <alignment horizontal="center" vertical="top" wrapText="1"/>
    </xf>
    <xf numFmtId="14" fontId="20" fillId="2" borderId="0" xfId="0" applyNumberFormat="1" applyFont="1" applyFill="1" applyBorder="1" applyAlignment="1">
      <alignment horizontal="center" vertical="top" wrapText="1"/>
    </xf>
    <xf numFmtId="40" fontId="18" fillId="0" borderId="0" xfId="0" applyNumberFormat="1" applyFont="1" applyBorder="1" applyAlignment="1">
      <alignment horizontal="center" vertical="top" wrapText="1"/>
    </xf>
    <xf numFmtId="0" fontId="24" fillId="0" borderId="0" xfId="0" applyFont="1" applyBorder="1" applyAlignment="1">
      <alignment horizontal="center" vertical="top" wrapText="1"/>
    </xf>
    <xf numFmtId="40" fontId="17" fillId="0" borderId="0" xfId="0" applyNumberFormat="1" applyFont="1" applyBorder="1" applyAlignment="1">
      <alignment horizontal="center" vertical="top" wrapText="1"/>
    </xf>
    <xf numFmtId="40" fontId="24" fillId="0" borderId="0" xfId="0" applyNumberFormat="1" applyFont="1" applyBorder="1" applyAlignment="1">
      <alignment horizontal="center" vertical="top" wrapText="1"/>
    </xf>
    <xf numFmtId="40" fontId="27" fillId="2" borderId="0" xfId="0" applyNumberFormat="1" applyFont="1" applyFill="1" applyBorder="1" applyAlignment="1">
      <alignment horizontal="center" vertical="top" wrapText="1"/>
    </xf>
    <xf numFmtId="0" fontId="20" fillId="0" borderId="0" xfId="0" applyFont="1" applyBorder="1" applyAlignment="1">
      <alignment horizontal="center" vertical="center" wrapText="1"/>
    </xf>
    <xf numFmtId="0" fontId="20" fillId="0" borderId="0" xfId="0" applyFont="1" applyBorder="1" applyAlignment="1">
      <alignment horizontal="center" vertical="top" wrapText="1"/>
    </xf>
    <xf numFmtId="40" fontId="20" fillId="0" borderId="1" xfId="0" applyNumberFormat="1" applyFont="1" applyFill="1" applyBorder="1" applyAlignment="1">
      <alignment vertical="top" wrapText="1"/>
    </xf>
    <xf numFmtId="40" fontId="27" fillId="0" borderId="0" xfId="0" applyNumberFormat="1" applyFont="1" applyBorder="1" applyAlignment="1">
      <alignment horizontal="center" vertical="top" wrapText="1"/>
    </xf>
    <xf numFmtId="40" fontId="20" fillId="0" borderId="20" xfId="0" applyNumberFormat="1" applyFont="1" applyFill="1" applyBorder="1" applyAlignment="1">
      <alignment vertical="top" wrapText="1"/>
    </xf>
    <xf numFmtId="40" fontId="20" fillId="0" borderId="10" xfId="0" applyNumberFormat="1" applyFont="1" applyFill="1" applyBorder="1" applyAlignment="1">
      <alignment vertical="top" wrapText="1"/>
    </xf>
    <xf numFmtId="40" fontId="27" fillId="0" borderId="6" xfId="0" applyNumberFormat="1" applyFont="1" applyFill="1" applyBorder="1" applyAlignment="1">
      <alignment horizontal="right" vertical="center"/>
    </xf>
    <xf numFmtId="40" fontId="20" fillId="0" borderId="1" xfId="0" applyNumberFormat="1" applyFont="1" applyFill="1" applyBorder="1" applyAlignment="1">
      <alignment vertical="top"/>
    </xf>
    <xf numFmtId="43" fontId="20" fillId="0" borderId="0" xfId="3" applyFont="1" applyBorder="1" applyAlignment="1">
      <alignment vertical="top"/>
    </xf>
    <xf numFmtId="43" fontId="20" fillId="0" borderId="0" xfId="3" applyFont="1" applyBorder="1" applyAlignment="1">
      <alignment horizontal="right" vertical="top"/>
    </xf>
    <xf numFmtId="40" fontId="20" fillId="0" borderId="0" xfId="0" applyNumberFormat="1" applyFont="1" applyBorder="1" applyAlignment="1">
      <alignment vertical="top"/>
    </xf>
    <xf numFmtId="40" fontId="20" fillId="0" borderId="5" xfId="0" applyNumberFormat="1" applyFont="1" applyBorder="1" applyAlignment="1">
      <alignment horizontal="right" vertical="top"/>
    </xf>
    <xf numFmtId="43" fontId="20" fillId="0" borderId="0" xfId="0" applyNumberFormat="1" applyFont="1" applyFill="1" applyBorder="1" applyAlignment="1">
      <alignment vertical="top"/>
    </xf>
    <xf numFmtId="40" fontId="20" fillId="0" borderId="1" xfId="0" applyNumberFormat="1" applyFont="1" applyBorder="1" applyAlignment="1">
      <alignment vertical="top"/>
    </xf>
    <xf numFmtId="43" fontId="20" fillId="0" borderId="0" xfId="0" applyNumberFormat="1" applyFont="1" applyBorder="1" applyAlignment="1">
      <alignment vertical="top"/>
    </xf>
    <xf numFmtId="40" fontId="27" fillId="0" borderId="0" xfId="0" applyNumberFormat="1" applyFont="1" applyBorder="1" applyAlignment="1">
      <alignment horizontal="right" vertical="top"/>
    </xf>
    <xf numFmtId="40" fontId="20" fillId="0" borderId="0" xfId="0" applyNumberFormat="1" applyFont="1" applyBorder="1" applyAlignment="1">
      <alignment horizontal="right" vertical="top"/>
    </xf>
    <xf numFmtId="40" fontId="20" fillId="0" borderId="1" xfId="0" applyNumberFormat="1" applyFont="1" applyBorder="1" applyAlignment="1">
      <alignment horizontal="right" vertical="top"/>
    </xf>
    <xf numFmtId="0" fontId="20" fillId="0" borderId="0" xfId="0" applyFont="1" applyBorder="1" applyAlignment="1">
      <alignment vertical="top"/>
    </xf>
    <xf numFmtId="40" fontId="26" fillId="0" borderId="20" xfId="0" applyNumberFormat="1" applyFont="1" applyFill="1" applyBorder="1" applyAlignment="1">
      <alignment horizontal="right" vertical="top" wrapText="1"/>
    </xf>
    <xf numFmtId="14" fontId="20" fillId="0" borderId="2" xfId="0" applyNumberFormat="1" applyFont="1" applyBorder="1" applyAlignment="1">
      <alignment vertical="top" wrapText="1"/>
    </xf>
    <xf numFmtId="14" fontId="20" fillId="0" borderId="2" xfId="0" applyNumberFormat="1" applyFont="1" applyFill="1" applyBorder="1" applyAlignment="1">
      <alignment vertical="top" wrapText="1"/>
    </xf>
    <xf numFmtId="14" fontId="26" fillId="0" borderId="2" xfId="0" applyNumberFormat="1" applyFont="1" applyBorder="1" applyAlignment="1">
      <alignment vertical="top" wrapText="1"/>
    </xf>
    <xf numFmtId="0" fontId="14" fillId="0" borderId="0" xfId="0" applyFont="1" applyAlignment="1">
      <alignment vertical="center"/>
    </xf>
    <xf numFmtId="14" fontId="22" fillId="0" borderId="0" xfId="0" applyNumberFormat="1" applyFont="1" applyBorder="1" applyAlignment="1">
      <alignment horizontal="right" vertical="top"/>
    </xf>
    <xf numFmtId="14" fontId="26" fillId="0" borderId="0" xfId="0" applyNumberFormat="1" applyFont="1" applyBorder="1" applyAlignment="1">
      <alignment horizontal="right" vertical="top"/>
    </xf>
    <xf numFmtId="40" fontId="27" fillId="5" borderId="6" xfId="0" applyNumberFormat="1" applyFont="1" applyFill="1" applyBorder="1" applyAlignment="1">
      <alignment horizontal="right" vertical="center"/>
    </xf>
    <xf numFmtId="40" fontId="20" fillId="5" borderId="1" xfId="0" applyNumberFormat="1" applyFont="1" applyFill="1" applyBorder="1" applyAlignment="1">
      <alignment vertical="top"/>
    </xf>
    <xf numFmtId="43" fontId="30" fillId="0" borderId="11" xfId="3" applyFont="1" applyBorder="1"/>
    <xf numFmtId="43" fontId="30" fillId="0" borderId="6" xfId="3" applyFont="1" applyBorder="1"/>
    <xf numFmtId="43" fontId="30" fillId="0" borderId="7" xfId="3" applyFont="1" applyBorder="1"/>
    <xf numFmtId="40" fontId="20" fillId="0" borderId="3" xfId="0" applyNumberFormat="1" applyFont="1" applyBorder="1" applyAlignment="1">
      <alignment horizontal="right" vertical="top" wrapText="1"/>
    </xf>
    <xf numFmtId="40" fontId="20" fillId="0" borderId="1" xfId="0" applyNumberFormat="1" applyFont="1" applyBorder="1" applyAlignment="1">
      <alignment horizontal="right" vertical="top" wrapText="1"/>
    </xf>
    <xf numFmtId="40" fontId="20" fillId="0" borderId="10" xfId="0" applyNumberFormat="1" applyFont="1" applyBorder="1" applyAlignment="1">
      <alignment horizontal="right" vertical="top" wrapText="1"/>
    </xf>
    <xf numFmtId="14" fontId="20" fillId="0" borderId="0" xfId="0" applyNumberFormat="1" applyFont="1" applyAlignment="1">
      <alignment horizontal="center" vertical="top" wrapText="1"/>
    </xf>
    <xf numFmtId="43" fontId="31" fillId="0" borderId="0" xfId="3" applyFont="1"/>
    <xf numFmtId="43" fontId="31" fillId="0" borderId="10" xfId="3" applyFont="1" applyBorder="1"/>
    <xf numFmtId="43" fontId="31" fillId="0" borderId="1" xfId="3" applyFont="1" applyBorder="1"/>
    <xf numFmtId="43" fontId="31" fillId="0" borderId="2" xfId="3" applyFont="1" applyBorder="1"/>
    <xf numFmtId="43" fontId="31" fillId="0" borderId="11" xfId="3" applyFont="1" applyBorder="1"/>
    <xf numFmtId="43" fontId="31" fillId="0" borderId="6" xfId="3" applyFont="1" applyBorder="1"/>
    <xf numFmtId="43" fontId="31" fillId="0" borderId="7" xfId="3" applyFont="1" applyBorder="1"/>
    <xf numFmtId="43" fontId="31" fillId="0" borderId="22" xfId="3" applyFont="1" applyBorder="1"/>
    <xf numFmtId="43" fontId="31" fillId="0" borderId="23" xfId="3" applyFont="1" applyBorder="1"/>
    <xf numFmtId="43" fontId="31" fillId="0" borderId="21" xfId="3" applyFont="1" applyBorder="1"/>
    <xf numFmtId="14" fontId="32" fillId="0" borderId="0" xfId="0" applyNumberFormat="1" applyFont="1" applyAlignment="1">
      <alignment vertical="top" wrapText="1"/>
    </xf>
    <xf numFmtId="0" fontId="32" fillId="0" borderId="0" xfId="0" applyFont="1" applyAlignment="1">
      <alignment vertical="top" wrapText="1"/>
    </xf>
    <xf numFmtId="40" fontId="33" fillId="0" borderId="0" xfId="0" applyNumberFormat="1" applyFont="1" applyAlignment="1">
      <alignment horizontal="left" vertical="top" wrapText="1"/>
    </xf>
    <xf numFmtId="40" fontId="33" fillId="0" borderId="0" xfId="0" applyNumberFormat="1" applyFont="1" applyAlignment="1">
      <alignment horizontal="center" vertical="top" wrapText="1"/>
    </xf>
    <xf numFmtId="14" fontId="33" fillId="0" borderId="0" xfId="0" applyNumberFormat="1" applyFont="1" applyAlignment="1">
      <alignment horizontal="center" vertical="top" wrapText="1"/>
    </xf>
    <xf numFmtId="40" fontId="33" fillId="0" borderId="0" xfId="0" applyNumberFormat="1" applyFont="1" applyAlignment="1">
      <alignment horizontal="right" vertical="top"/>
    </xf>
    <xf numFmtId="40" fontId="32" fillId="0" borderId="0" xfId="0" applyNumberFormat="1" applyFont="1" applyAlignment="1">
      <alignment horizontal="right" vertical="top"/>
    </xf>
    <xf numFmtId="0" fontId="34" fillId="0" borderId="0" xfId="0" applyFont="1" applyAlignment="1">
      <alignment vertical="top" wrapText="1"/>
    </xf>
    <xf numFmtId="40" fontId="35" fillId="0" borderId="0" xfId="0" applyNumberFormat="1" applyFont="1" applyAlignment="1">
      <alignment horizontal="left" vertical="top" wrapText="1"/>
    </xf>
    <xf numFmtId="40" fontId="35" fillId="0" borderId="0" xfId="0" applyNumberFormat="1" applyFont="1" applyAlignment="1">
      <alignment horizontal="center" vertical="top" wrapText="1"/>
    </xf>
    <xf numFmtId="14" fontId="35" fillId="0" borderId="0" xfId="0" applyNumberFormat="1" applyFont="1" applyAlignment="1">
      <alignment horizontal="center" vertical="top" wrapText="1"/>
    </xf>
    <xf numFmtId="40" fontId="35" fillId="0" borderId="0" xfId="0" applyNumberFormat="1" applyFont="1" applyAlignment="1">
      <alignment horizontal="right" vertical="top"/>
    </xf>
    <xf numFmtId="40" fontId="34" fillId="0" borderId="0" xfId="0" applyNumberFormat="1" applyFont="1" applyAlignment="1">
      <alignment horizontal="right" vertical="top"/>
    </xf>
    <xf numFmtId="43" fontId="36" fillId="0" borderId="0" xfId="3" applyFont="1"/>
    <xf numFmtId="43" fontId="36" fillId="0" borderId="11" xfId="3" applyFont="1" applyBorder="1"/>
    <xf numFmtId="43" fontId="36" fillId="0" borderId="22" xfId="3" applyFont="1" applyBorder="1"/>
    <xf numFmtId="43" fontId="36" fillId="0" borderId="6" xfId="3" applyFont="1" applyBorder="1"/>
    <xf numFmtId="43" fontId="36" fillId="0" borderId="23" xfId="3" applyFont="1" applyBorder="1"/>
    <xf numFmtId="43" fontId="36" fillId="0" borderId="7" xfId="3" applyFont="1" applyBorder="1"/>
    <xf numFmtId="43" fontId="36" fillId="0" borderId="21" xfId="3" applyFont="1" applyBorder="1"/>
    <xf numFmtId="0" fontId="20" fillId="0" borderId="0" xfId="0" applyFont="1" applyAlignment="1">
      <alignment vertical="top" wrapText="1"/>
    </xf>
    <xf numFmtId="40" fontId="27" fillId="0" borderId="0" xfId="0" applyNumberFormat="1" applyFont="1" applyAlignment="1">
      <alignment horizontal="left" vertical="top" wrapText="1"/>
    </xf>
    <xf numFmtId="40" fontId="27" fillId="0" borderId="0" xfId="0" applyNumberFormat="1" applyFont="1" applyAlignment="1">
      <alignment horizontal="center" vertical="top" wrapText="1"/>
    </xf>
    <xf numFmtId="40" fontId="27" fillId="0" borderId="0" xfId="0" applyNumberFormat="1" applyFont="1" applyAlignment="1">
      <alignment horizontal="right" vertical="top"/>
    </xf>
    <xf numFmtId="40" fontId="20" fillId="0" borderId="0" xfId="0" applyNumberFormat="1" applyFont="1" applyAlignment="1">
      <alignment horizontal="right" vertical="top"/>
    </xf>
    <xf numFmtId="0" fontId="37" fillId="0" borderId="0" xfId="0" applyFont="1" applyAlignment="1">
      <alignment vertical="top" wrapText="1"/>
    </xf>
    <xf numFmtId="40" fontId="38" fillId="0" borderId="0" xfId="0" applyNumberFormat="1" applyFont="1" applyAlignment="1">
      <alignment horizontal="left" vertical="top" wrapText="1"/>
    </xf>
    <xf numFmtId="40" fontId="38" fillId="0" borderId="0" xfId="0" applyNumberFormat="1" applyFont="1" applyAlignment="1">
      <alignment horizontal="center" vertical="top" wrapText="1"/>
    </xf>
    <xf numFmtId="14" fontId="38" fillId="0" borderId="0" xfId="0" applyNumberFormat="1" applyFont="1" applyAlignment="1">
      <alignment horizontal="center" vertical="top" wrapText="1"/>
    </xf>
    <xf numFmtId="40" fontId="38" fillId="0" borderId="0" xfId="0" applyNumberFormat="1" applyFont="1" applyAlignment="1">
      <alignment horizontal="right" vertical="top"/>
    </xf>
    <xf numFmtId="40" fontId="37" fillId="0" borderId="0" xfId="0" applyNumberFormat="1" applyFont="1" applyAlignment="1">
      <alignment horizontal="right" vertical="top"/>
    </xf>
    <xf numFmtId="43" fontId="39" fillId="0" borderId="0" xfId="3" applyFont="1"/>
    <xf numFmtId="43" fontId="39" fillId="0" borderId="11" xfId="3" applyFont="1" applyBorder="1"/>
    <xf numFmtId="43" fontId="39" fillId="0" borderId="22" xfId="3" applyFont="1" applyBorder="1"/>
    <xf numFmtId="43" fontId="39" fillId="0" borderId="6" xfId="3" applyFont="1" applyBorder="1"/>
    <xf numFmtId="43" fontId="39" fillId="0" borderId="23" xfId="3" applyFont="1" applyBorder="1"/>
    <xf numFmtId="43" fontId="39" fillId="0" borderId="7" xfId="3" applyFont="1" applyBorder="1"/>
    <xf numFmtId="43" fontId="39" fillId="0" borderId="21" xfId="3" applyFont="1" applyBorder="1"/>
    <xf numFmtId="0" fontId="40" fillId="0" borderId="0" xfId="0" applyFont="1" applyAlignment="1">
      <alignment vertical="top" wrapText="1"/>
    </xf>
    <xf numFmtId="40" fontId="41" fillId="0" borderId="0" xfId="0" applyNumberFormat="1" applyFont="1" applyAlignment="1">
      <alignment horizontal="left" vertical="top" wrapText="1"/>
    </xf>
    <xf numFmtId="40" fontId="41" fillId="0" borderId="0" xfId="0" applyNumberFormat="1" applyFont="1" applyAlignment="1">
      <alignment horizontal="center" vertical="top" wrapText="1"/>
    </xf>
    <xf numFmtId="14" fontId="41" fillId="0" borderId="0" xfId="0" applyNumberFormat="1" applyFont="1" applyAlignment="1">
      <alignment horizontal="center" vertical="top" wrapText="1"/>
    </xf>
    <xf numFmtId="40" fontId="41" fillId="0" borderId="0" xfId="0" applyNumberFormat="1" applyFont="1" applyAlignment="1">
      <alignment horizontal="right" vertical="top"/>
    </xf>
    <xf numFmtId="40" fontId="40" fillId="0" borderId="0" xfId="0" applyNumberFormat="1" applyFont="1" applyAlignment="1">
      <alignment horizontal="right" vertical="top"/>
    </xf>
    <xf numFmtId="40" fontId="23" fillId="0" borderId="12" xfId="0" applyNumberFormat="1" applyFont="1" applyBorder="1" applyAlignment="1">
      <alignment horizontal="center" vertical="top" wrapText="1"/>
    </xf>
    <xf numFmtId="0" fontId="5" fillId="0" borderId="0" xfId="0" applyFont="1" applyAlignment="1">
      <alignment horizontal="left" vertical="top" wrapText="1"/>
    </xf>
    <xf numFmtId="0" fontId="28" fillId="0" borderId="0" xfId="0" applyFont="1" applyAlignment="1">
      <alignment horizontal="left" vertical="top" wrapText="1"/>
    </xf>
    <xf numFmtId="0" fontId="14" fillId="0" borderId="0" xfId="0" applyFont="1" applyAlignment="1">
      <alignment horizontal="left" vertical="top" wrapText="1"/>
    </xf>
    <xf numFmtId="40" fontId="16" fillId="0" borderId="13" xfId="0" applyNumberFormat="1" applyFont="1" applyBorder="1" applyAlignment="1">
      <alignment horizontal="center" vertical="center" wrapText="1"/>
    </xf>
    <xf numFmtId="0" fontId="16" fillId="0" borderId="0" xfId="0" applyFont="1" applyAlignment="1">
      <alignment horizontal="left" vertical="top" wrapText="1"/>
    </xf>
    <xf numFmtId="14" fontId="16" fillId="0" borderId="7" xfId="0" applyNumberFormat="1" applyFont="1" applyBorder="1" applyAlignment="1">
      <alignment horizontal="center" vertical="top" wrapText="1"/>
    </xf>
    <xf numFmtId="14" fontId="16" fillId="0" borderId="13" xfId="0" applyNumberFormat="1" applyFont="1" applyBorder="1" applyAlignment="1">
      <alignment horizontal="center" vertical="top" wrapText="1"/>
    </xf>
    <xf numFmtId="14" fontId="16" fillId="0" borderId="11" xfId="0" applyNumberFormat="1" applyFont="1" applyBorder="1" applyAlignment="1">
      <alignment horizontal="center" vertical="top" wrapText="1"/>
    </xf>
    <xf numFmtId="40" fontId="29" fillId="4" borderId="17" xfId="1" applyNumberFormat="1" applyFont="1" applyFill="1" applyBorder="1" applyAlignment="1">
      <alignment horizontal="center" vertical="center" wrapText="1"/>
    </xf>
    <xf numFmtId="40" fontId="29" fillId="4" borderId="18" xfId="1" applyNumberFormat="1" applyFont="1" applyFill="1" applyBorder="1" applyAlignment="1">
      <alignment horizontal="center" vertical="center" wrapText="1"/>
    </xf>
    <xf numFmtId="40" fontId="29" fillId="4" borderId="19" xfId="1" applyNumberFormat="1" applyFont="1" applyFill="1" applyBorder="1" applyAlignment="1">
      <alignment horizontal="center" vertical="center" wrapText="1"/>
    </xf>
    <xf numFmtId="43" fontId="5" fillId="0" borderId="0" xfId="3" applyFont="1" applyAlignment="1">
      <alignment horizontal="left" vertical="top" wrapText="1"/>
    </xf>
    <xf numFmtId="43" fontId="2" fillId="0" borderId="0" xfId="3" applyFont="1" applyAlignment="1">
      <alignment horizontal="left" vertical="top" wrapText="1"/>
    </xf>
    <xf numFmtId="43" fontId="4" fillId="0" borderId="0" xfId="3" applyFont="1" applyAlignment="1">
      <alignment horizontal="left" vertical="top" wrapText="1"/>
    </xf>
    <xf numFmtId="43" fontId="4" fillId="0" borderId="0" xfId="3" applyFont="1" applyBorder="1" applyAlignment="1">
      <alignment horizontal="left" vertical="top" wrapText="1"/>
    </xf>
    <xf numFmtId="43" fontId="3" fillId="0" borderId="0" xfId="3" applyFont="1" applyAlignment="1">
      <alignment horizontal="left" vertical="top" wrapText="1"/>
    </xf>
    <xf numFmtId="0" fontId="9" fillId="3" borderId="0" xfId="2" applyFont="1" applyFill="1" applyBorder="1" applyAlignment="1">
      <alignment horizontal="left" vertical="top" wrapText="1"/>
    </xf>
    <xf numFmtId="0" fontId="9" fillId="0" borderId="0" xfId="2" applyFont="1" applyFill="1" applyBorder="1" applyAlignment="1">
      <alignment horizontal="left" vertical="top" wrapText="1"/>
    </xf>
    <xf numFmtId="0" fontId="0" fillId="0" borderId="0" xfId="0" applyAlignment="1">
      <alignment horizontal="left" vertical="top" wrapText="1"/>
    </xf>
    <xf numFmtId="0" fontId="2" fillId="0" borderId="0" xfId="0" applyFont="1" applyAlignment="1">
      <alignment horizontal="left" vertical="top"/>
    </xf>
    <xf numFmtId="0" fontId="0" fillId="0" borderId="0" xfId="0" applyFill="1" applyAlignment="1">
      <alignment horizontal="left" vertical="top" wrapText="1"/>
    </xf>
    <xf numFmtId="0" fontId="0" fillId="3" borderId="0" xfId="0" applyFill="1" applyAlignment="1">
      <alignment horizontal="left" vertical="top" wrapText="1"/>
    </xf>
    <xf numFmtId="0" fontId="2" fillId="0" borderId="0" xfId="0" applyFont="1" applyAlignment="1">
      <alignment horizontal="left" vertical="top" wrapText="1"/>
    </xf>
    <xf numFmtId="0" fontId="0" fillId="0" borderId="0" xfId="0" applyBorder="1" applyAlignment="1">
      <alignment horizontal="left" vertical="top" wrapText="1"/>
    </xf>
    <xf numFmtId="0" fontId="0" fillId="0" borderId="0" xfId="0" applyAlignment="1">
      <alignment horizontal="left" vertical="top"/>
    </xf>
    <xf numFmtId="0" fontId="6" fillId="0" borderId="0" xfId="0" applyFont="1" applyAlignment="1">
      <alignment horizontal="left" vertical="top" wrapText="1"/>
    </xf>
    <xf numFmtId="0" fontId="42" fillId="0" borderId="0" xfId="0" applyFont="1" applyAlignment="1">
      <alignment vertical="top" wrapText="1"/>
    </xf>
    <xf numFmtId="40" fontId="43" fillId="0" borderId="0" xfId="0" applyNumberFormat="1" applyFont="1" applyAlignment="1">
      <alignment horizontal="left" vertical="top" wrapText="1"/>
    </xf>
    <xf numFmtId="40" fontId="43" fillId="0" borderId="0" xfId="0" applyNumberFormat="1" applyFont="1" applyAlignment="1">
      <alignment horizontal="center" vertical="top" wrapText="1"/>
    </xf>
    <xf numFmtId="14" fontId="43" fillId="0" borderId="0" xfId="0" applyNumberFormat="1" applyFont="1" applyAlignment="1">
      <alignment horizontal="center" vertical="top" wrapText="1"/>
    </xf>
    <xf numFmtId="40" fontId="43" fillId="0" borderId="0" xfId="0" applyNumberFormat="1" applyFont="1" applyAlignment="1">
      <alignment horizontal="right" vertical="top"/>
    </xf>
    <xf numFmtId="40" fontId="42" fillId="0" borderId="0" xfId="0" applyNumberFormat="1" applyFont="1" applyAlignment="1">
      <alignment horizontal="right" vertical="top"/>
    </xf>
  </cellXfs>
  <cellStyles count="4">
    <cellStyle name="Comma" xfId="3" builtinId="3"/>
    <cellStyle name="Currency" xfId="1" builtinId="4"/>
    <cellStyle name="Normal" xfId="0" builtinId="0"/>
    <cellStyle name="Normal_Notes" xfId="2"/>
  </cellStyles>
  <dxfs count="105">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0" indent="0" justifyLastLine="0" shrinkToFit="0" readingOrder="0"/>
    </dxf>
    <dxf>
      <font>
        <b val="0"/>
        <i val="0"/>
        <strike val="0"/>
        <condense val="0"/>
        <extend val="0"/>
        <outline val="0"/>
        <shadow val="0"/>
        <u val="none"/>
        <vertAlign val="baseline"/>
        <sz val="11"/>
        <color theme="1"/>
        <name val="Calibri"/>
        <scheme val="minor"/>
      </font>
      <border diagonalUp="0" diagonalDown="0">
        <left style="thin">
          <color indexed="64"/>
        </left>
        <right/>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scheme val="minor"/>
      </font>
      <border diagonalUp="0" diagonalDown="0">
        <left/>
        <right style="thin">
          <color indexed="64"/>
        </right>
        <top/>
        <bottom/>
        <vertical/>
        <horizontal/>
      </border>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right"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9" formatCode="m/d/yyyy"/>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19" formatCode="m/d/yyyy"/>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19" formatCode="m/d/yyyy"/>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19" formatCode="m/d/yyyy"/>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alignment horizontal="right" vertical="top" textRotation="0" wrapText="0"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border>
        <top style="thin">
          <color indexed="64"/>
        </top>
      </border>
    </dxf>
    <dxf>
      <border diagonalUp="0" diagonalDown="0">
        <left style="medium">
          <color indexed="64"/>
        </left>
        <right style="medium">
          <color indexed="64"/>
        </right>
        <top style="medium">
          <color indexed="64"/>
        </top>
        <bottom style="medium">
          <color indexed="64"/>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top" textRotation="0" wrapText="1" indent="0" justifyLastLine="0" shrinkToFit="0" readingOrder="0"/>
    </dxf>
    <dxf>
      <border outline="0">
        <right style="thin">
          <color indexed="64"/>
        </right>
      </border>
    </dxf>
    <dxf>
      <font>
        <b val="0"/>
        <i val="0"/>
        <strike val="0"/>
        <condense val="0"/>
        <extend val="0"/>
        <outline val="0"/>
        <shadow val="0"/>
        <u val="none"/>
        <vertAlign val="baseline"/>
        <sz val="9"/>
        <color theme="1"/>
        <name val="Arial Unicode MS"/>
        <scheme val="none"/>
      </font>
      <numFmt numFmtId="164" formatCode="mm/dd/yyyy"/>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164" formatCode="mm/dd/yyyy"/>
      <alignment horizontal="center" vertical="top" textRotation="0" wrapText="1" indent="0" justifyLastLine="0" shrinkToFit="0" readingOrder="0"/>
    </dxf>
    <dxf>
      <font>
        <strike val="0"/>
        <outline val="0"/>
        <shadow val="0"/>
        <u val="none"/>
        <vertAlign val="baseline"/>
        <sz val="9"/>
        <name val="Arial Unicode MS"/>
        <scheme val="none"/>
      </font>
    </dxf>
    <dxf>
      <font>
        <strike val="0"/>
        <outline val="0"/>
        <shadow val="0"/>
        <u val="none"/>
        <vertAlign val="baseline"/>
        <sz val="9"/>
        <name val="Arial Unicode MS"/>
        <scheme val="none"/>
      </font>
      <numFmt numFmtId="8" formatCode="#,##0.00_);[Red]\(#,##0.00\)"/>
    </dxf>
    <dxf>
      <font>
        <strike val="0"/>
        <outline val="0"/>
        <shadow val="0"/>
        <u val="none"/>
        <vertAlign val="baseline"/>
        <sz val="9"/>
        <name val="Arial Unicode MS"/>
        <scheme val="none"/>
      </font>
      <numFmt numFmtId="8" formatCode="#,##0.00_);[Red]\(#,##0.00\)"/>
    </dxf>
    <dxf>
      <font>
        <strike val="0"/>
        <outline val="0"/>
        <shadow val="0"/>
        <u val="none"/>
        <vertAlign val="baseline"/>
        <sz val="9"/>
        <name val="Arial Unicode MS"/>
        <scheme val="none"/>
      </font>
      <numFmt numFmtId="8" formatCode="#,##0.00_);[Red]\(#,##0.0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1" indent="0" justifyLastLine="0" shrinkToFit="0" readingOrder="0"/>
      <border diagonalUp="0" diagonalDown="0">
        <left style="medium">
          <color indexed="64"/>
        </left>
        <right style="thin">
          <color indexed="64"/>
        </right>
        <top style="thin">
          <color indexed="64"/>
        </top>
        <bottom style="thin">
          <color indexed="64"/>
        </bottom>
        <vertical/>
        <horizontal/>
      </border>
    </dxf>
    <dxf>
      <font>
        <strike val="0"/>
        <outline val="0"/>
        <shadow val="0"/>
        <u val="none"/>
        <vertAlign val="baseline"/>
        <sz val="9"/>
        <name val="Arial Unicode MS"/>
        <scheme val="none"/>
      </font>
      <numFmt numFmtId="8" formatCode="#,##0.00_);[Red]\(#,##0.00\)"/>
    </dxf>
    <dxf>
      <font>
        <strike val="0"/>
        <outline val="0"/>
        <shadow val="0"/>
        <u val="none"/>
        <vertAlign val="baseline"/>
        <sz val="9"/>
        <name val="Arial Unicode MS"/>
        <scheme val="none"/>
      </font>
      <numFmt numFmtId="164" formatCode="mm/dd/yyyy"/>
      <alignment horizontal="general" vertical="top" textRotation="0" wrapText="1" indent="0" justifyLastLine="0" shrinkToFit="0" readingOrder="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9"/>
        <name val="Arial Unicode MS"/>
        <scheme val="none"/>
      </font>
      <numFmt numFmtId="8" formatCode="#,##0.00_);[Red]\(#,##0.00\)"/>
    </dxf>
    <dxf>
      <border>
        <bottom style="thin">
          <color indexed="64"/>
        </bottom>
      </border>
    </dxf>
    <dxf>
      <font>
        <b/>
        <i val="0"/>
        <strike val="0"/>
        <condense val="0"/>
        <extend val="0"/>
        <outline val="0"/>
        <shadow val="0"/>
        <u val="none"/>
        <vertAlign val="baseline"/>
        <sz val="9"/>
        <color auto="1"/>
        <name val="Arial Unicode MS"/>
        <scheme val="none"/>
      </font>
      <numFmt numFmtId="8" formatCode="#,##0.00_);[Red]\(#,##0.0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rgb="FFFFFFCC"/>
        </patternFill>
      </fill>
    </dxf>
    <dxf>
      <font>
        <b/>
        <i val="0"/>
      </font>
    </dxf>
    <dxf>
      <border>
        <left style="thin">
          <color auto="1"/>
        </left>
        <right style="thin">
          <color auto="1"/>
        </right>
        <top style="thin">
          <color auto="1"/>
        </top>
        <bottom style="thin">
          <color auto="1"/>
        </bottom>
        <vertical style="thin">
          <color auto="1"/>
        </vertical>
        <horizontal style="thin">
          <color auto="1"/>
        </horizontal>
      </border>
    </dxf>
    <dxf>
      <fill>
        <patternFill>
          <bgColor rgb="FFA2B9E2"/>
        </patternFill>
      </fill>
    </dxf>
    <dxf>
      <fill>
        <patternFill>
          <bgColor rgb="FFF4AF80"/>
        </patternFill>
      </fill>
    </dxf>
    <dxf>
      <fill>
        <patternFill>
          <bgColor rgb="FFCFB855"/>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4" defaultTableStyle="TableStyleMedium2" defaultPivotStyle="PivotStyleLight16">
    <tableStyle name="Table Style 1" pivot="0" count="2">
      <tableStyleElement type="wholeTable" dxfId="104"/>
      <tableStyleElement type="firstRowStripe" dxfId="103"/>
    </tableStyle>
    <tableStyle name="Table Style 2" pivot="0" count="1">
      <tableStyleElement type="firstRowStripe" dxfId="102"/>
    </tableStyle>
    <tableStyle name="Table Style 3" pivot="0" count="1">
      <tableStyleElement type="firstRowStripe" dxfId="101"/>
    </tableStyle>
    <tableStyle name="Table Style 4" pivot="0" count="3">
      <tableStyleElement type="wholeTable" dxfId="100"/>
      <tableStyleElement type="headerRow" dxfId="99"/>
      <tableStyleElement type="firstRowStripe" dxfId="98"/>
    </tableStyle>
  </tableStyles>
  <colors>
    <mruColors>
      <color rgb="FFFFFFCC"/>
      <color rgb="FFDBB7FF"/>
      <color rgb="FFD9D9D9"/>
      <color rgb="FFC5D9F1"/>
      <color rgb="FFFABF8F"/>
      <color rgb="FFF2DCDB"/>
      <color rgb="FFACEAAC"/>
      <color rgb="FFC9FFF5"/>
      <color rgb="FFFFCCFF"/>
      <color rgb="FFDDD9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queryTables/queryTable1.xml><?xml version="1.0" encoding="utf-8"?>
<queryTable xmlns="http://schemas.openxmlformats.org/spreadsheetml/2006/main" name="Query from MS Access Database" adjustColumnWidth="0" connectionId="1" autoFormatId="16" applyNumberFormats="0" applyBorderFormats="0" applyFontFormats="0" applyPatternFormats="0" applyAlignmentFormats="0" applyWidthHeightFormats="0">
  <queryTableRefresh nextId="20" unboundColumnsRight="2">
    <queryTableFields count="19">
      <queryTableField id="1" name="ADOT#" tableColumnId="1"/>
      <queryTableField id="2" name="TIP#" tableColumnId="2"/>
      <queryTableField id="3" name="Sponsor" tableColumnId="3"/>
      <queryTableField id="4" name="Action/15" tableColumnId="4"/>
      <queryTableField id="5" name="Location" tableColumnId="5"/>
      <queryTableField id="17" dataBound="0" tableColumnId="17"/>
      <queryTableField id="6" name="RTE" tableColumnId="6"/>
      <queryTableField id="7" name="SEC" tableColumnId="7"/>
      <queryTableField id="8" name="SEQ" tableColumnId="8"/>
      <queryTableField id="9" name="PB Expected" tableColumnId="9"/>
      <queryTableField id="10" name="PB Received" tableColumnId="10"/>
      <queryTableField id="11" name="PF Transmitted" tableColumnId="11"/>
      <queryTableField id="12" name="Finance Authorization" tableColumnId="12"/>
      <queryTableField id="13" name="HSIP" tableColumnId="13"/>
      <queryTableField id="14" name="PL" tableColumnId="14"/>
      <queryTableField id="15" name="SPR" tableColumnId="15"/>
      <queryTableField id="16" name="STP OTHER" tableColumnId="16"/>
      <queryTableField id="18" dataBound="0" tableColumnId="18"/>
      <queryTableField id="19" dataBound="0" tableColumnId="19"/>
    </queryTableFields>
  </queryTableRefresh>
</queryTable>
</file>

<file path=xl/queryTables/queryTable2.xml><?xml version="1.0" encoding="utf-8"?>
<queryTable xmlns="http://schemas.openxmlformats.org/spreadsheetml/2006/main" name="Query from MS Access Database_1" growShrinkType="insertClear" adjustColumnWidth="0" connectionId="4" autoFormatId="16" applyNumberFormats="0" applyBorderFormats="0" applyFontFormats="0" applyPatternFormats="0" applyAlignmentFormats="0" applyWidthHeightFormats="0">
  <queryTableRefresh nextId="20" unboundColumnsRight="2">
    <queryTableFields count="19">
      <queryTableField id="1" name="ADOT#" tableColumnId="1"/>
      <queryTableField id="2" name="TIP#" tableColumnId="2"/>
      <queryTableField id="3" name="Sponsor" tableColumnId="3"/>
      <queryTableField id="4" name="Action/15" tableColumnId="4"/>
      <queryTableField id="5" name="Location" tableColumnId="5"/>
      <queryTableField id="17" dataBound="0" tableColumnId="17"/>
      <queryTableField id="6" name="RTE" tableColumnId="6"/>
      <queryTableField id="7" name="SEC" tableColumnId="7"/>
      <queryTableField id="8" name="SEQ" tableColumnId="8"/>
      <queryTableField id="9" name="PB Expected" tableColumnId="9"/>
      <queryTableField id="10" name="PB Received" tableColumnId="10"/>
      <queryTableField id="11" name="PF Transmitted" tableColumnId="11"/>
      <queryTableField id="12" name="Finance Authorization" tableColumnId="12"/>
      <queryTableField id="13" name="HSIP" tableColumnId="13"/>
      <queryTableField id="14" name="PL" tableColumnId="14"/>
      <queryTableField id="15" name="SPR" tableColumnId="15"/>
      <queryTableField id="16" name="STP OTHER" tableColumnId="16"/>
      <queryTableField id="18" dataBound="0" tableColumnId="18"/>
      <queryTableField id="19" dataBound="0" tableColumnId="19"/>
    </queryTableFields>
  </queryTableRefresh>
</queryTable>
</file>

<file path=xl/queryTables/queryTable3.xml><?xml version="1.0" encoding="utf-8"?>
<queryTable xmlns="http://schemas.openxmlformats.org/spreadsheetml/2006/main" name="Query from MS Access Database" growShrinkType="insertClear" connectionId="2" autoFormatId="16" applyNumberFormats="0" applyBorderFormats="0" applyFontFormats="0" applyPatternFormats="0" applyAlignmentFormats="0" applyWidthHeightFormats="0">
  <queryTableRefresh nextId="23">
    <queryTableFields count="18">
      <queryTableField id="1" name="Transaction Year" tableColumnId="1"/>
      <queryTableField id="2" name="Transaction Type" tableColumnId="2"/>
      <queryTableField id="3" name="Number" tableColumnId="3"/>
      <queryTableField id="6" name="Repayment Year" tableColumnId="6"/>
      <queryTableField id="9" name="Total" tableColumnId="9"/>
      <queryTableField id="10" name="CMAQ" tableColumnId="10"/>
      <queryTableField id="11" name="CMAQ 2_5" tableColumnId="11"/>
      <queryTableField id="12" name="HSIP" tableColumnId="12"/>
      <queryTableField id="13" name="PL" tableColumnId="13"/>
      <queryTableField id="14" name="SPR" tableColumnId="14"/>
      <queryTableField id="15" name="STP other" tableColumnId="15"/>
      <queryTableField id="16" name="STP over 200K" tableColumnId="16"/>
      <queryTableField id="17" name="TA other" tableColumnId="17"/>
      <queryTableField id="18" name="TA over 200K" tableColumnId="18"/>
      <queryTableField id="19" name="From" tableColumnId="4"/>
      <queryTableField id="20" name="To" tableColumnId="5"/>
      <queryTableField id="21" name="Project8" tableColumnId="7"/>
      <queryTableField id="22" name="Notes" tableColumnId="8"/>
    </queryTableFields>
  </queryTableRefresh>
</queryTable>
</file>

<file path=xl/queryTables/queryTable4.xml><?xml version="1.0" encoding="utf-8"?>
<queryTable xmlns="http://schemas.openxmlformats.org/spreadsheetml/2006/main" name="Query from MS Access Database_1" growShrinkType="insertClear" connectionId="3" autoFormatId="16" applyNumberFormats="0" applyBorderFormats="0" applyFontFormats="0" applyPatternFormats="0" applyAlignmentFormats="0" applyWidthHeightFormats="0">
  <queryTableRefresh nextId="27">
    <queryTableFields count="18">
      <queryTableField id="1" name="Transaction Year" tableColumnId="1"/>
      <queryTableField id="2" name="Transaction Type" tableColumnId="2"/>
      <queryTableField id="3" name="Number" tableColumnId="3"/>
      <queryTableField id="6" name="Repayment Year" tableColumnId="6"/>
      <queryTableField id="9" name="Total" tableColumnId="9"/>
      <queryTableField id="10" name="CMAQ" tableColumnId="10"/>
      <queryTableField id="11" name="CMAQ 2_5" tableColumnId="11"/>
      <queryTableField id="12" name="HSIP" tableColumnId="12"/>
      <queryTableField id="13" name="PL" tableColumnId="13"/>
      <queryTableField id="14" name="SPR" tableColumnId="14"/>
      <queryTableField id="15" name="STP other" tableColumnId="15"/>
      <queryTableField id="16" name="STP over 200K" tableColumnId="16"/>
      <queryTableField id="17" name="TA other" tableColumnId="17"/>
      <queryTableField id="18" name="TA over 200K" tableColumnId="18"/>
      <queryTableField id="23" name="From" tableColumnId="43"/>
      <queryTableField id="24" name="To" tableColumnId="44"/>
      <queryTableField id="25" name="Project8" tableColumnId="45"/>
      <queryTableField id="26" name="Notes" tableColumnId="46"/>
    </queryTableFields>
  </queryTableRefresh>
</queryTable>
</file>

<file path=xl/tables/_rels/table2.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table1.xml><?xml version="1.0" encoding="utf-8"?>
<table xmlns="http://schemas.openxmlformats.org/spreadsheetml/2006/main" id="1" name="Table1" displayName="Table1" ref="M3:S12" totalsRowShown="0" headerRowDxfId="97" dataDxfId="95" headerRowBorderDxfId="96" tableBorderDxfId="94" totalsRowBorderDxfId="93" headerRowCellStyle="Currency">
  <autoFilter ref="M3:S12"/>
  <tableColumns count="7">
    <tableColumn id="1" name="Description" dataDxfId="92"/>
    <tableColumn id="4" name="HSIP/3" dataDxfId="91"/>
    <tableColumn id="2" name="PL" dataDxfId="90"/>
    <tableColumn id="5" name="SPR /4" dataDxfId="89"/>
    <tableColumn id="6" name="STP other" dataDxfId="88"/>
    <tableColumn id="7" name="Total" dataDxfId="87"/>
    <tableColumn id="8" name="FFY OBLIGATION AUTHORITY /2" dataDxfId="86"/>
  </tableColumns>
  <tableStyleInfo name="Table Style 4" showFirstColumn="0" showLastColumn="0" showRowStripes="1" showColumnStripes="0"/>
</table>
</file>

<file path=xl/tables/table2.xml><?xml version="1.0" encoding="utf-8"?>
<table xmlns="http://schemas.openxmlformats.org/spreadsheetml/2006/main" id="7" name="Table_Query_from_MS_Access_Database8" displayName="Table_Query_from_MS_Access_Database8" ref="A15:S30" tableType="queryTable" totalsRowShown="0" headerRowDxfId="85" dataDxfId="84" tableBorderDxfId="83">
  <autoFilter ref="A15:S30"/>
  <tableColumns count="19">
    <tableColumn id="1" uniqueName="1" name="ADOT#" queryTableFieldId="1" dataDxfId="54"/>
    <tableColumn id="2" uniqueName="2" name="TIP#" queryTableFieldId="2" dataDxfId="53"/>
    <tableColumn id="3" uniqueName="3" name="Sponsor" queryTableFieldId="3" dataDxfId="52"/>
    <tableColumn id="4" uniqueName="4" name="Action/15" queryTableFieldId="4" dataDxfId="51"/>
    <tableColumn id="5" uniqueName="5" name="Location" queryTableFieldId="5" dataDxfId="50"/>
    <tableColumn id="17" uniqueName="17" name="FED #" queryTableFieldId="17" dataDxfId="49">
      <calculatedColumnFormula>CONCATENATE(Table_Query_from_MS_Access_Database8[[#This Row],[RTE]],Table_Query_from_MS_Access_Database8[[#This Row],[SEC]],Table_Query_from_MS_Access_Database8[[#This Row],[SEQ]])</calculatedColumnFormula>
    </tableColumn>
    <tableColumn id="6" uniqueName="6" name="RTE" queryTableFieldId="6" dataDxfId="48"/>
    <tableColumn id="7" uniqueName="7" name="SEC" queryTableFieldId="7" dataDxfId="47"/>
    <tableColumn id="8" uniqueName="8" name="SEQ" queryTableFieldId="8" dataDxfId="46"/>
    <tableColumn id="9" uniqueName="9" name="PB Expected" queryTableFieldId="9" dataDxfId="45"/>
    <tableColumn id="10" uniqueName="10" name="PB Received" queryTableFieldId="10" dataDxfId="44"/>
    <tableColumn id="11" uniqueName="11" name="PF Transmitted" queryTableFieldId="11" dataDxfId="43"/>
    <tableColumn id="12" uniqueName="12" name="Finance Authorization" queryTableFieldId="12" dataDxfId="42"/>
    <tableColumn id="13" uniqueName="13" name="HSIP" queryTableFieldId="13" dataDxfId="41"/>
    <tableColumn id="14" uniqueName="14" name="PL" queryTableFieldId="14" dataDxfId="40"/>
    <tableColumn id="15" uniqueName="15" name="SPR" queryTableFieldId="15" dataDxfId="39"/>
    <tableColumn id="16" uniqueName="16" name="STP OTHER" queryTableFieldId="16" dataDxfId="38"/>
    <tableColumn id="18" uniqueName="18" name="TOTAL OF AMOUNT" queryTableFieldId="18" dataDxfId="37">
      <calculatedColumnFormula>+Table_Query_from_MS_Access_Database8[[#This Row],[HSIP]]+Table_Query_from_MS_Access_Database8[[#This Row],[PL]]+Table_Query_from_MS_Access_Database8[[#This Row],[SPR]]+Table_Query_from_MS_Access_Database8[[#This Row],[STP OTHER]]</calculatedColumnFormula>
    </tableColumn>
    <tableColumn id="19" uniqueName="19" name="DECLINING BALANCE OA" queryTableFieldId="19" dataDxfId="0">
      <calculatedColumnFormula>S12-Table_Query_from_MS_Access_Database8[TOTAL OF AMOUNT]</calculatedColumnFormula>
    </tableColumn>
  </tableColumns>
  <tableStyleInfo name="Table Style 4" showFirstColumn="0" showLastColumn="0" showRowStripes="1" showColumnStripes="0"/>
</table>
</file>

<file path=xl/tables/table3.xml><?xml version="1.0" encoding="utf-8"?>
<table xmlns="http://schemas.openxmlformats.org/spreadsheetml/2006/main" id="8" name="Table_Query_from_MS_Access_Database_1" displayName="Table_Query_from_MS_Access_Database_1" ref="A35:S36" tableType="queryTable" totalsRowShown="0" headerRowDxfId="82" dataDxfId="81">
  <autoFilter ref="A35:S36"/>
  <tableColumns count="19">
    <tableColumn id="1" uniqueName="1" name="ADOT#" queryTableFieldId="1" dataDxfId="73"/>
    <tableColumn id="2" uniqueName="2" name="TIP#" queryTableFieldId="2" dataDxfId="72"/>
    <tableColumn id="3" uniqueName="3" name="Sponsor" queryTableFieldId="3" dataDxfId="71"/>
    <tableColumn id="4" uniqueName="4" name="Action/15" queryTableFieldId="4" dataDxfId="70"/>
    <tableColumn id="5" uniqueName="5" name="Location" queryTableFieldId="5" dataDxfId="69"/>
    <tableColumn id="17" uniqueName="17" name="FED #" queryTableFieldId="17" dataDxfId="68">
      <calculatedColumnFormula>CONCATENATE(Table_Query_from_MS_Access_Database_1[[#This Row],[RTE]],Table_Query_from_MS_Access_Database_1[[#This Row],[SEC]],Table_Query_from_MS_Access_Database_1[[#This Row],[SEQ]])</calculatedColumnFormula>
    </tableColumn>
    <tableColumn id="6" uniqueName="6" name="RTE" queryTableFieldId="6" dataDxfId="67"/>
    <tableColumn id="7" uniqueName="7" name="SEC" queryTableFieldId="7" dataDxfId="66"/>
    <tableColumn id="8" uniqueName="8" name="SEQ" queryTableFieldId="8" dataDxfId="65"/>
    <tableColumn id="9" uniqueName="9" name="PB Expected" queryTableFieldId="9" dataDxfId="64"/>
    <tableColumn id="10" uniqueName="10" name="PB Received" queryTableFieldId="10" dataDxfId="63"/>
    <tableColumn id="11" uniqueName="11" name="PF Transmitted" queryTableFieldId="11" dataDxfId="62"/>
    <tableColumn id="12" uniqueName="12" name="Finance Authorization" queryTableFieldId="12" dataDxfId="61"/>
    <tableColumn id="13" uniqueName="13" name="HSIP" queryTableFieldId="13" dataDxfId="60" dataCellStyle="Comma"/>
    <tableColumn id="14" uniqueName="14" name="PL" queryTableFieldId="14" dataDxfId="59" dataCellStyle="Comma"/>
    <tableColumn id="15" uniqueName="15" name="SPR" queryTableFieldId="15" dataDxfId="58" dataCellStyle="Comma"/>
    <tableColumn id="16" uniqueName="16" name="STP OTHER" queryTableFieldId="16" dataDxfId="57" dataCellStyle="Comma"/>
    <tableColumn id="18" uniqueName="18" name="TOTAL OF AMOUNT" queryTableFieldId="18" dataDxfId="56" dataCellStyle="Comma">
      <calculatedColumnFormula>+SUM(Table_Query_from_MS_Access_Database_1[[#This Row],[HSIP]:[STP OTHER]])</calculatedColumnFormula>
    </tableColumn>
    <tableColumn id="19" uniqueName="19" name="EXPECTED DECLINING BALANCE OA" queryTableFieldId="19" dataDxfId="55">
      <calculatedColumnFormula>S30-Table_Query_from_MS_Access_Database_1[TOTAL OF AMOUNT]</calculatedColumnFormula>
    </tableColumn>
  </tableColumns>
  <tableStyleInfo name="Table Style 4" showFirstColumn="0" showLastColumn="0" showRowStripes="1" showColumnStripes="0"/>
</table>
</file>

<file path=xl/tables/table4.xml><?xml version="1.0" encoding="utf-8"?>
<table xmlns="http://schemas.openxmlformats.org/spreadsheetml/2006/main" id="4" name="Table_Query_from_MS_Access_Database" displayName="Table_Query_from_MS_Access_Database" ref="A11:R23" tableType="queryTable" totalsRowShown="0" headerRowDxfId="80" headerRowBorderDxfId="79" tableBorderDxfId="78" totalsRowBorderDxfId="77" headerRowCellStyle="Comma" dataCellStyle="Comma">
  <autoFilter ref="A11:R23"/>
  <tableColumns count="18">
    <tableColumn id="1" uniqueName="1" name="Transaction Year" queryTableFieldId="1" dataDxfId="18" dataCellStyle="Comma"/>
    <tableColumn id="2" uniqueName="2" name="Transaction Type" queryTableFieldId="2" dataDxfId="17" dataCellStyle="Comma"/>
    <tableColumn id="3" uniqueName="3" name="Number" queryTableFieldId="3" dataDxfId="16" dataCellStyle="Comma"/>
    <tableColumn id="6" uniqueName="6" name="Repayment Year" queryTableFieldId="6" dataDxfId="15" dataCellStyle="Comma"/>
    <tableColumn id="9" uniqueName="9" name="Total" queryTableFieldId="9" dataDxfId="14" dataCellStyle="Comma"/>
    <tableColumn id="10" uniqueName="10" name="CMAQ" queryTableFieldId="10" dataDxfId="13" dataCellStyle="Comma"/>
    <tableColumn id="11" uniqueName="11" name="CMAQ 2_5" queryTableFieldId="11" dataDxfId="12" dataCellStyle="Comma"/>
    <tableColumn id="12" uniqueName="12" name="HSIP" queryTableFieldId="12" dataDxfId="11" dataCellStyle="Comma"/>
    <tableColumn id="13" uniqueName="13" name="PL" queryTableFieldId="13" dataDxfId="10" dataCellStyle="Comma"/>
    <tableColumn id="14" uniqueName="14" name="SPR" queryTableFieldId="14" dataDxfId="9" dataCellStyle="Comma"/>
    <tableColumn id="15" uniqueName="15" name="STP other" queryTableFieldId="15" dataDxfId="8" dataCellStyle="Comma"/>
    <tableColumn id="16" uniqueName="16" name="STP over 200K" queryTableFieldId="16" dataDxfId="7" dataCellStyle="Comma"/>
    <tableColumn id="17" uniqueName="17" name="TA other" queryTableFieldId="17" dataDxfId="6" dataCellStyle="Comma"/>
    <tableColumn id="18" uniqueName="18" name="TA over 200K" queryTableFieldId="18" dataDxfId="5" dataCellStyle="Comma"/>
    <tableColumn id="4" uniqueName="4" name="From" queryTableFieldId="19" dataDxfId="4" dataCellStyle="Comma"/>
    <tableColumn id="5" uniqueName="5" name="To" queryTableFieldId="20" dataDxfId="3" dataCellStyle="Comma"/>
    <tableColumn id="7" uniqueName="7" name="Project8" queryTableFieldId="21" dataDxfId="2" dataCellStyle="Comma"/>
    <tableColumn id="8" uniqueName="8" name="Notes" queryTableFieldId="22" dataDxfId="1" dataCellStyle="Comma"/>
  </tableColumns>
  <tableStyleInfo name="Table Style 4" showFirstColumn="0" showLastColumn="0" showRowStripes="1" showColumnStripes="0"/>
</table>
</file>

<file path=xl/tables/table5.xml><?xml version="1.0" encoding="utf-8"?>
<table xmlns="http://schemas.openxmlformats.org/spreadsheetml/2006/main" id="5" name="Table_Query_from_MS_Access_Database_16" displayName="Table_Query_from_MS_Access_Database_16" ref="A26:R37" tableType="queryTable" totalsRowShown="0" headerRowDxfId="76" dataDxfId="75" tableBorderDxfId="74" headerRowCellStyle="Comma" dataCellStyle="Comma">
  <autoFilter ref="A26:R37"/>
  <tableColumns count="18">
    <tableColumn id="1" uniqueName="1" name="Transaction Year" queryTableFieldId="1" dataDxfId="36" dataCellStyle="Comma"/>
    <tableColumn id="2" uniqueName="2" name="Transaction Type" queryTableFieldId="2" dataDxfId="35" dataCellStyle="Comma"/>
    <tableColumn id="3" uniqueName="3" name="Number" queryTableFieldId="3" dataDxfId="34" dataCellStyle="Comma"/>
    <tableColumn id="6" uniqueName="6" name="Repayment Year" queryTableFieldId="6" dataDxfId="33" dataCellStyle="Comma"/>
    <tableColumn id="9" uniqueName="9" name="Total" queryTableFieldId="9" dataDxfId="32" dataCellStyle="Comma"/>
    <tableColumn id="10" uniqueName="10" name="CMAQ" queryTableFieldId="10" dataDxfId="31" dataCellStyle="Comma"/>
    <tableColumn id="11" uniqueName="11" name="CMAQ 2_5" queryTableFieldId="11" dataDxfId="30" dataCellStyle="Comma"/>
    <tableColumn id="12" uniqueName="12" name="HSIP" queryTableFieldId="12" dataDxfId="29" dataCellStyle="Comma"/>
    <tableColumn id="13" uniqueName="13" name="PL" queryTableFieldId="13" dataDxfId="28" dataCellStyle="Comma"/>
    <tableColumn id="14" uniqueName="14" name="SPR" queryTableFieldId="14" dataDxfId="27" dataCellStyle="Comma"/>
    <tableColumn id="15" uniqueName="15" name="STP other" queryTableFieldId="15" dataDxfId="26" dataCellStyle="Comma"/>
    <tableColumn id="16" uniqueName="16" name="STP over 200K" queryTableFieldId="16" dataDxfId="25" dataCellStyle="Comma"/>
    <tableColumn id="17" uniqueName="17" name="TA other" queryTableFieldId="17" dataDxfId="24" dataCellStyle="Comma"/>
    <tableColumn id="18" uniqueName="18" name="TA over 200K" queryTableFieldId="18" dataDxfId="23" dataCellStyle="Comma"/>
    <tableColumn id="43" uniqueName="43" name="From" queryTableFieldId="23" dataDxfId="22" dataCellStyle="Comma"/>
    <tableColumn id="44" uniqueName="44" name="To" queryTableFieldId="24" dataDxfId="21" dataCellStyle="Comma"/>
    <tableColumn id="45" uniqueName="45" name="Project8" queryTableFieldId="25" dataDxfId="20" dataCellStyle="Comma"/>
    <tableColumn id="46" uniqueName="46" name="Notes" queryTableFieldId="26" dataDxfId="19" dataCellStyle="Comma"/>
  </tableColumns>
  <tableStyleInfo name="Table Style 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47"/>
  <sheetViews>
    <sheetView tabSelected="1" topLeftCell="E13" zoomScale="90" zoomScaleNormal="90" zoomScaleSheetLayoutView="75" workbookViewId="0">
      <selection activeCell="R46" sqref="R46"/>
    </sheetView>
  </sheetViews>
  <sheetFormatPr defaultColWidth="17" defaultRowHeight="15.6" x14ac:dyDescent="0.3"/>
  <cols>
    <col min="1" max="1" width="12.77734375" style="33" customWidth="1"/>
    <col min="2" max="4" width="15.77734375" style="33" customWidth="1"/>
    <col min="5" max="5" width="40.77734375" style="33" customWidth="1"/>
    <col min="6" max="6" width="11.77734375" style="33" customWidth="1"/>
    <col min="7" max="7" width="14.109375" style="33" hidden="1" customWidth="1"/>
    <col min="8" max="9" width="14.44140625" style="33" hidden="1" customWidth="1"/>
    <col min="10" max="12" width="15.77734375" style="33" customWidth="1"/>
    <col min="13" max="13" width="23.77734375" style="33" customWidth="1"/>
    <col min="14" max="18" width="14.77734375" style="36" customWidth="1"/>
    <col min="19" max="19" width="18.77734375" style="36" customWidth="1"/>
    <col min="20" max="20" width="4.33203125" style="36" bestFit="1" customWidth="1"/>
    <col min="21" max="16384" width="17" style="33"/>
  </cols>
  <sheetData>
    <row r="1" spans="1:20" ht="24" thickBot="1" x14ac:dyDescent="0.35">
      <c r="A1" s="190" t="s">
        <v>106</v>
      </c>
      <c r="B1" s="190"/>
      <c r="C1" s="190"/>
      <c r="D1" s="190"/>
      <c r="E1" s="190"/>
      <c r="F1" s="190"/>
      <c r="J1" s="34"/>
      <c r="K1" s="35"/>
      <c r="L1" s="34"/>
      <c r="M1" s="57"/>
      <c r="N1" s="193" t="s">
        <v>88</v>
      </c>
      <c r="O1" s="193"/>
      <c r="P1" s="193"/>
      <c r="Q1" s="193"/>
      <c r="R1" s="193"/>
      <c r="S1" s="193"/>
      <c r="T1" s="58"/>
    </row>
    <row r="2" spans="1:20" ht="16.2" thickBot="1" x14ac:dyDescent="0.35">
      <c r="J2" s="34"/>
      <c r="K2" s="34"/>
      <c r="L2" s="34"/>
      <c r="M2" s="57"/>
      <c r="N2" s="198" t="s">
        <v>12</v>
      </c>
      <c r="O2" s="199"/>
      <c r="P2" s="199"/>
      <c r="Q2" s="199"/>
      <c r="R2" s="200"/>
      <c r="S2" s="58"/>
      <c r="T2" s="58"/>
    </row>
    <row r="3" spans="1:20" ht="26.4" x14ac:dyDescent="0.3">
      <c r="A3" s="194" t="s">
        <v>91</v>
      </c>
      <c r="B3" s="194"/>
      <c r="C3" s="194"/>
      <c r="D3" s="194"/>
      <c r="E3" s="38"/>
      <c r="F3" s="38"/>
      <c r="G3" s="38"/>
      <c r="J3" s="34"/>
      <c r="K3" s="34"/>
      <c r="L3" s="34"/>
      <c r="M3" s="71" t="s">
        <v>11</v>
      </c>
      <c r="N3" s="72" t="s">
        <v>69</v>
      </c>
      <c r="O3" s="80" t="s">
        <v>45</v>
      </c>
      <c r="P3" s="73" t="s">
        <v>63</v>
      </c>
      <c r="Q3" s="73" t="s">
        <v>6</v>
      </c>
      <c r="R3" s="74" t="s">
        <v>10</v>
      </c>
      <c r="S3" s="39" t="s">
        <v>15</v>
      </c>
      <c r="T3" s="37"/>
    </row>
    <row r="4" spans="1:20" ht="26.4" x14ac:dyDescent="0.3">
      <c r="A4" s="192" t="s">
        <v>137</v>
      </c>
      <c r="B4" s="192"/>
      <c r="C4" s="192"/>
      <c r="D4" s="192"/>
      <c r="E4" s="40"/>
      <c r="F4" s="40"/>
      <c r="G4" s="40"/>
      <c r="J4" s="34"/>
      <c r="K4" s="34"/>
      <c r="L4" s="34"/>
      <c r="M4" s="120" t="s">
        <v>123</v>
      </c>
      <c r="N4" s="131">
        <v>0</v>
      </c>
      <c r="O4" s="133">
        <v>0</v>
      </c>
      <c r="P4" s="132">
        <v>0</v>
      </c>
      <c r="Q4" s="43">
        <v>0</v>
      </c>
      <c r="R4" s="44">
        <f>+SUM(Table1[[#This Row],[HSIP/3]:[STP other]])</f>
        <v>0</v>
      </c>
      <c r="S4" s="41">
        <f>+Table1[[#This Row],[PL]]*0.94875273887</f>
        <v>0</v>
      </c>
      <c r="T4" s="37"/>
    </row>
    <row r="5" spans="1:20" ht="26.4" x14ac:dyDescent="0.3">
      <c r="A5" s="123" t="s">
        <v>107</v>
      </c>
      <c r="C5" s="69">
        <v>42643</v>
      </c>
      <c r="J5" s="34"/>
      <c r="K5" s="34"/>
      <c r="L5" s="34"/>
      <c r="M5" s="121" t="s">
        <v>124</v>
      </c>
      <c r="N5" s="42">
        <v>519767.43211718404</v>
      </c>
      <c r="O5" s="81">
        <v>116548.12</v>
      </c>
      <c r="P5" s="43">
        <f>Notes!D13</f>
        <v>125000</v>
      </c>
      <c r="Q5" s="43">
        <f>432180.557348696+180739.044769002</f>
        <v>612919.60211769794</v>
      </c>
      <c r="R5" s="44">
        <f>+SUM(Table1[[#This Row],[HSIP/3]:[STP other]])</f>
        <v>1374235.154234882</v>
      </c>
      <c r="S5" s="42">
        <f>ROUND(+Table1[[#This Row],[Total]]*0.949331239483705,0)</f>
        <v>1304604</v>
      </c>
      <c r="T5" s="45" t="s">
        <v>71</v>
      </c>
    </row>
    <row r="6" spans="1:20" x14ac:dyDescent="0.3">
      <c r="J6" s="34"/>
      <c r="K6" s="34"/>
      <c r="L6" s="34"/>
      <c r="M6" s="121" t="s">
        <v>79</v>
      </c>
      <c r="N6" s="104">
        <f>SUMIFS(Table_Query_from_MS_Access_Database[[#All],[HSIP]],Table_Query_from_MS_Access_Database[[#All],[Transaction Year]],"2016",Table_Query_from_MS_Access_Database[[#All],[Transaction Type]],"loan in")</f>
        <v>0</v>
      </c>
      <c r="O6" s="102">
        <f>SUMIFS(Table_Query_from_MS_Access_Database[[#All],[PL]],Table_Query_from_MS_Access_Database[[#All],[Transaction Year]],"2016",Table_Query_from_MS_Access_Database[[#All],[Transaction Type]],"loan in")</f>
        <v>0</v>
      </c>
      <c r="P6" s="102">
        <f>SUMIFS(Table_Query_from_MS_Access_Database[[#All],[SPR]],Table_Query_from_MS_Access_Database[[#All],[Transaction Year]],"2016",Table_Query_from_MS_Access_Database[[#All],[Transaction Type]],"loan in")</f>
        <v>0</v>
      </c>
      <c r="Q6" s="105">
        <f>SUMIFS(Table_Query_from_MS_Access_Database[[#All],[STP other]],Table_Query_from_MS_Access_Database[[#All],[Transaction Year]],"2016",Table_Query_from_MS_Access_Database[[#All],[Transaction Type]],"loan in")</f>
        <v>0</v>
      </c>
      <c r="R6" s="44">
        <f t="shared" ref="R6:R12" si="0">SUM(N6:Q6)</f>
        <v>0</v>
      </c>
      <c r="S6" s="46">
        <f>SUMIFS(Table_Query_from_MS_Access_Database_16[[#All],[Total]],Table_Query_from_MS_Access_Database_16[[#All],[Transaction Year]],"2016",Table_Query_from_MS_Access_Database_16[[#All],[Transaction Type]],"Loan In")</f>
        <v>0</v>
      </c>
      <c r="T6" s="37"/>
    </row>
    <row r="7" spans="1:20" x14ac:dyDescent="0.3">
      <c r="A7" s="48"/>
      <c r="J7" s="34"/>
      <c r="K7" s="34"/>
      <c r="L7" s="34"/>
      <c r="M7" s="121" t="s">
        <v>80</v>
      </c>
      <c r="N7" s="104">
        <f>SUMIFS(Table_Query_from_MS_Access_Database[[#All],[HSIP]],Table_Query_from_MS_Access_Database[[#All],[Transaction Year]],"2016",Table_Query_from_MS_Access_Database[[#All],[Transaction Type]],"loan Out")</f>
        <v>-70069</v>
      </c>
      <c r="O7" s="102">
        <f>SUMIFS(Table_Query_from_MS_Access_Database[[#All],[PL]],Table_Query_from_MS_Access_Database[[#All],[Transaction Year]],"2016",Table_Query_from_MS_Access_Database[[#All],[Transaction Type]],"loan Out")</f>
        <v>0</v>
      </c>
      <c r="P7" s="102">
        <f>SUMIFS(Table_Query_from_MS_Access_Database[[#All],[SPR]],Table_Query_from_MS_Access_Database[[#All],[Transaction Year]],"2016",Table_Query_from_MS_Access_Database[[#All],[Transaction Type]],"loan Out")</f>
        <v>0</v>
      </c>
      <c r="Q7" s="105">
        <f>SUMIFS(Table_Query_from_MS_Access_Database[[#All],[STP other]],Table_Query_from_MS_Access_Database[[#All],[Transaction Year]],"2016",Table_Query_from_MS_Access_Database[[#All],[Transaction Type]],"loan Out")</f>
        <v>-633480</v>
      </c>
      <c r="R7" s="44">
        <f t="shared" si="0"/>
        <v>-703549</v>
      </c>
      <c r="S7" s="46">
        <f>SUMIFS(Table_Query_from_MS_Access_Database_16[[#All],[Total]],Table_Query_from_MS_Access_Database_16[[#All],[Transaction Year]],"2016",Table_Query_from_MS_Access_Database_16[[#All],[Transaction Type]],"Loan Out")</f>
        <v>-703549</v>
      </c>
      <c r="T7" s="37"/>
    </row>
    <row r="8" spans="1:20" x14ac:dyDescent="0.3">
      <c r="J8" s="34"/>
      <c r="K8" s="34"/>
      <c r="L8" s="34"/>
      <c r="M8" s="120" t="s">
        <v>81</v>
      </c>
      <c r="N8" s="104">
        <f>SUMIFS(Table_Query_from_MS_Access_Database[[#All],[HSIP]],Table_Query_from_MS_Access_Database[[#All],[Transaction Year]],"2016",Table_Query_from_MS_Access_Database[[#All],[Transaction Type]],"repayment in")</f>
        <v>0</v>
      </c>
      <c r="O8" s="102">
        <f>SUMIFS(Table_Query_from_MS_Access_Database[[#All],[PL]],Table_Query_from_MS_Access_Database[[#All],[Transaction Year]],"2016",Table_Query_from_MS_Access_Database[[#All],[Transaction Type]],"repayment in")</f>
        <v>0</v>
      </c>
      <c r="P8" s="102">
        <f>SUMIFS(Table_Query_from_MS_Access_Database[[#All],[SPR]],Table_Query_from_MS_Access_Database[[#All],[Transaction Year]],"2016",Table_Query_from_MS_Access_Database[[#All],[Transaction Type]],"repayment in")</f>
        <v>0</v>
      </c>
      <c r="Q8" s="105">
        <f>SUMIFS(Table_Query_from_MS_Access_Database[[#All],[STP other]],Table_Query_from_MS_Access_Database[[#All],[Transaction Year]],"2016",Table_Query_from_MS_Access_Database[[#All],[Transaction Type]],"repayment in")</f>
        <v>0</v>
      </c>
      <c r="R8" s="44">
        <f t="shared" si="0"/>
        <v>0</v>
      </c>
      <c r="S8" s="46">
        <f>SUMIFS(Table_Query_from_MS_Access_Database_16[[#All],[Total]],Table_Query_from_MS_Access_Database_16[[#All],[Transaction Year]],"2016",Table_Query_from_MS_Access_Database_16[[#All],[Transaction Type]],"repayment In")</f>
        <v>0</v>
      </c>
      <c r="T8" s="37"/>
    </row>
    <row r="9" spans="1:20" x14ac:dyDescent="0.3">
      <c r="A9" s="192" t="s">
        <v>99</v>
      </c>
      <c r="B9" s="192"/>
      <c r="C9" s="192"/>
      <c r="D9" s="192"/>
      <c r="E9" s="192"/>
      <c r="F9" s="192"/>
      <c r="G9" s="192"/>
      <c r="H9" s="192"/>
      <c r="I9" s="192"/>
      <c r="J9" s="192"/>
      <c r="K9" s="192"/>
      <c r="L9" s="192"/>
      <c r="M9" s="121" t="s">
        <v>82</v>
      </c>
      <c r="N9" s="104">
        <f>SUMIFS(Table_Query_from_MS_Access_Database[[#All],[HSIP]],Table_Query_from_MS_Access_Database[[#All],[Transaction Year]],"2016",Table_Query_from_MS_Access_Database[[#All],[Transaction Type]],"repayment Out")</f>
        <v>-127122</v>
      </c>
      <c r="O9" s="102">
        <f>SUMIFS(Table_Query_from_MS_Access_Database[[#All],[PL]],Table_Query_from_MS_Access_Database[[#All],[Transaction Year]],"2016",Table_Query_from_MS_Access_Database[[#All],[Transaction Type]],"repayment Out")</f>
        <v>0</v>
      </c>
      <c r="P9" s="102">
        <f>SUMIFS(Table_Query_from_MS_Access_Database[[#All],[SPR]],Table_Query_from_MS_Access_Database[[#All],[Transaction Year]],"2016",Table_Query_from_MS_Access_Database[[#All],[Transaction Type]],"repayment Out")</f>
        <v>0</v>
      </c>
      <c r="Q9" s="105">
        <f>SUMIFS(Table_Query_from_MS_Access_Database[[#All],[STP other]],Table_Query_from_MS_Access_Database[[#All],[Transaction Year]],"2016",Table_Query_from_MS_Access_Database[[#All],[Transaction Type]],"repayment Out")</f>
        <v>-280053</v>
      </c>
      <c r="R9" s="44">
        <f t="shared" si="0"/>
        <v>-407175</v>
      </c>
      <c r="S9" s="46">
        <f>SUMIFS(Table_Query_from_MS_Access_Database_16[[#All],[Total]],Table_Query_from_MS_Access_Database_16[[#All],[Transaction Year]],"2016",Table_Query_from_MS_Access_Database_16[[#All],[Transaction Type]],"Repayment Out")</f>
        <v>-400692</v>
      </c>
      <c r="T9" s="37"/>
    </row>
    <row r="10" spans="1:20" x14ac:dyDescent="0.3">
      <c r="J10" s="34"/>
      <c r="K10" s="34"/>
      <c r="L10" s="34"/>
      <c r="M10" s="121" t="s">
        <v>83</v>
      </c>
      <c r="N10" s="104">
        <f>SUMIFS(Table_Query_from_MS_Access_Database[[#All],[HSIP]],Table_Query_from_MS_Access_Database[[#All],[Transaction Year]],"2016",Table_Query_from_MS_Access_Database[[#All],[Transaction Type]],"Transfer in")</f>
        <v>0</v>
      </c>
      <c r="O10" s="102">
        <f>SUMIFS(Table_Query_from_MS_Access_Database[[#All],[PL]],Table_Query_from_MS_Access_Database[[#All],[Transaction Year]],"2016",Table_Query_from_MS_Access_Database[[#All],[Transaction Type]],"Transfer in")</f>
        <v>0</v>
      </c>
      <c r="P10" s="102">
        <f>SUMIFS(Table_Query_from_MS_Access_Database[[#All],[SPR]],Table_Query_from_MS_Access_Database[[#All],[Transaction Year]],"2016",Table_Query_from_MS_Access_Database[[#All],[Transaction Type]],"Transfer in")</f>
        <v>0</v>
      </c>
      <c r="Q10" s="105">
        <f>SUMIFS(Table_Query_from_MS_Access_Database[[#All],[STP other]],Table_Query_from_MS_Access_Database[[#All],[Transaction Year]],"2016",Table_Query_from_MS_Access_Database[[#All],[Transaction Type]],"Transfer in")</f>
        <v>0</v>
      </c>
      <c r="R10" s="44">
        <f t="shared" si="0"/>
        <v>0</v>
      </c>
      <c r="S10" s="46">
        <f>SUMIFS(Table_Query_from_MS_Access_Database_16[[#All],[Total]],Table_Query_from_MS_Access_Database_16[[#All],[Transaction Year]],"2016",Table_Query_from_MS_Access_Database_16[[#All],[Transaction Type]],"Transfer In")</f>
        <v>0</v>
      </c>
      <c r="T10" s="33"/>
    </row>
    <row r="11" spans="1:20" x14ac:dyDescent="0.3">
      <c r="F11" s="49"/>
      <c r="G11" s="49"/>
      <c r="J11" s="34"/>
      <c r="K11" s="34"/>
      <c r="L11" s="34"/>
      <c r="M11" s="121" t="s">
        <v>84</v>
      </c>
      <c r="N11" s="104">
        <f>SUMIFS(Table_Query_from_MS_Access_Database[[#All],[HSIP]],Table_Query_from_MS_Access_Database[[#All],[Transaction Year]],"2016",Table_Query_from_MS_Access_Database[[#All],[Transaction Type]],"Transfer Out")</f>
        <v>0</v>
      </c>
      <c r="O11" s="102">
        <f>SUMIFS(Table_Query_from_MS_Access_Database[[#All],[PL]],Table_Query_from_MS_Access_Database[[#All],[Transaction Year]],"2016",Table_Query_from_MS_Access_Database[[#All],[Transaction Type]],"Transfer Out")</f>
        <v>0</v>
      </c>
      <c r="P11" s="102">
        <f>SUMIFS(Table_Query_from_MS_Access_Database[[#All],[SPR]],Table_Query_from_MS_Access_Database[[#All],[Transaction Year]],"2016",Table_Query_from_MS_Access_Database[[#All],[Transaction Type]],"Transfer Out")</f>
        <v>0</v>
      </c>
      <c r="Q11" s="105">
        <f>SUMIFS(Table_Query_from_MS_Access_Database[[#All],[STP other]],Table_Query_from_MS_Access_Database[[#All],[Transaction Year]],"2016",Table_Query_from_MS_Access_Database[[#All],[Transaction Type]],"Transfer Out")</f>
        <v>0</v>
      </c>
      <c r="R11" s="44">
        <f t="shared" si="0"/>
        <v>0</v>
      </c>
      <c r="S11" s="46">
        <f>SUMIFS(Table_Query_from_MS_Access_Database_16[[#All],[Total]],Table_Query_from_MS_Access_Database_16[[#All],[Transaction Year]],"2016",Table_Query_from_MS_Access_Database_16[[#All],[Transaction Type]],"Transfer Out")</f>
        <v>0</v>
      </c>
      <c r="T11" s="47"/>
    </row>
    <row r="12" spans="1:20" ht="26.4" x14ac:dyDescent="0.3">
      <c r="J12" s="34"/>
      <c r="K12" s="34"/>
      <c r="L12" s="34"/>
      <c r="M12" s="122" t="s">
        <v>100</v>
      </c>
      <c r="N12" s="119">
        <f>SUM(N4:N11)</f>
        <v>322576.43211718404</v>
      </c>
      <c r="O12" s="51">
        <f>SUM(O4:O11)</f>
        <v>116548.12</v>
      </c>
      <c r="P12" s="51">
        <f>SUM(P4:P11)</f>
        <v>125000</v>
      </c>
      <c r="Q12" s="51">
        <f>SUM(Q4:Q11)</f>
        <v>-300613.39788230206</v>
      </c>
      <c r="R12" s="79">
        <f t="shared" si="0"/>
        <v>263511.15423488198</v>
      </c>
      <c r="S12" s="50">
        <f>SUM(S4:S11)</f>
        <v>200363</v>
      </c>
      <c r="T12" s="47"/>
    </row>
    <row r="13" spans="1:20" x14ac:dyDescent="0.3">
      <c r="J13" s="34"/>
      <c r="K13" s="34"/>
      <c r="L13" s="34"/>
      <c r="M13" s="34"/>
      <c r="N13" s="52"/>
      <c r="O13" s="53"/>
      <c r="P13" s="53"/>
      <c r="Q13" s="53"/>
      <c r="R13" s="53"/>
      <c r="S13" s="53"/>
      <c r="T13" s="47"/>
    </row>
    <row r="14" spans="1:20" ht="16.8" x14ac:dyDescent="0.3">
      <c r="A14" s="191" t="s">
        <v>70</v>
      </c>
      <c r="B14" s="191"/>
      <c r="C14" s="191"/>
      <c r="D14" s="191"/>
      <c r="J14" s="195" t="s">
        <v>72</v>
      </c>
      <c r="K14" s="196"/>
      <c r="L14" s="196"/>
      <c r="M14" s="197"/>
      <c r="N14" s="54"/>
      <c r="R14" s="55"/>
      <c r="S14" s="55"/>
      <c r="T14" s="55"/>
    </row>
    <row r="15" spans="1:20" s="56" customFormat="1" ht="26.4" x14ac:dyDescent="0.3">
      <c r="A15" s="91" t="s">
        <v>1</v>
      </c>
      <c r="B15" s="92" t="s">
        <v>0</v>
      </c>
      <c r="C15" s="92" t="s">
        <v>3</v>
      </c>
      <c r="D15" s="92" t="s">
        <v>94</v>
      </c>
      <c r="E15" s="92" t="s">
        <v>2</v>
      </c>
      <c r="F15" s="92" t="s">
        <v>60</v>
      </c>
      <c r="G15" s="92" t="s">
        <v>52</v>
      </c>
      <c r="H15" s="92" t="s">
        <v>53</v>
      </c>
      <c r="I15" s="92" t="s">
        <v>54</v>
      </c>
      <c r="J15" s="92" t="s">
        <v>55</v>
      </c>
      <c r="K15" s="92" t="s">
        <v>56</v>
      </c>
      <c r="L15" s="92" t="s">
        <v>57</v>
      </c>
      <c r="M15" s="92" t="s">
        <v>58</v>
      </c>
      <c r="N15" s="93" t="s">
        <v>4</v>
      </c>
      <c r="O15" s="93" t="s">
        <v>45</v>
      </c>
      <c r="P15" s="93" t="s">
        <v>5</v>
      </c>
      <c r="Q15" s="93" t="s">
        <v>59</v>
      </c>
      <c r="R15" s="93" t="s">
        <v>97</v>
      </c>
      <c r="S15" s="94" t="s">
        <v>105</v>
      </c>
      <c r="T15" s="83"/>
    </row>
    <row r="16" spans="1:20" s="59" customFormat="1" ht="13.2" x14ac:dyDescent="0.3">
      <c r="A16" s="59" t="s">
        <v>171</v>
      </c>
      <c r="B16" s="59" t="s">
        <v>172</v>
      </c>
      <c r="C16" s="59" t="s">
        <v>173</v>
      </c>
      <c r="D16" s="59" t="s">
        <v>9</v>
      </c>
      <c r="E16" s="82" t="s">
        <v>174</v>
      </c>
      <c r="F16" s="103" t="str">
        <f>CONCATENATE(Table_Query_from_MS_Access_Database8[[#This Row],[RTE]],Table_Query_from_MS_Access_Database8[[#This Row],[SEC]],Table_Query_from_MS_Access_Database8[[#This Row],[SEQ]])</f>
        <v>CLG0206</v>
      </c>
      <c r="G16" s="82" t="s">
        <v>175</v>
      </c>
      <c r="H16" s="82" t="s">
        <v>152</v>
      </c>
      <c r="I16" s="82" t="s">
        <v>176</v>
      </c>
      <c r="J16" s="85"/>
      <c r="K16" s="85">
        <v>42338</v>
      </c>
      <c r="L16" s="85">
        <v>42338</v>
      </c>
      <c r="M16" s="85">
        <v>42338</v>
      </c>
      <c r="N16" s="115">
        <v>-44326.82</v>
      </c>
      <c r="O16" s="116"/>
      <c r="P16" s="116"/>
      <c r="Q16" s="116"/>
      <c r="R16" s="116">
        <f>+Table_Query_from_MS_Access_Database8[[#This Row],[HSIP]]+Table_Query_from_MS_Access_Database8[[#This Row],[PL]]+Table_Query_from_MS_Access_Database8[[#This Row],[SPR]]+Table_Query_from_MS_Access_Database8[[#This Row],[STP OTHER]]</f>
        <v>-44326.82</v>
      </c>
      <c r="S16" s="116">
        <f>S12-Table_Query_from_MS_Access_Database8[TOTAL OF AMOUNT]</f>
        <v>244689.82</v>
      </c>
      <c r="T16" s="83"/>
    </row>
    <row r="17" spans="1:20" s="59" customFormat="1" ht="13.2" x14ac:dyDescent="0.3">
      <c r="A17" s="145" t="s">
        <v>186</v>
      </c>
      <c r="B17" s="145" t="s">
        <v>187</v>
      </c>
      <c r="C17" s="145" t="s">
        <v>156</v>
      </c>
      <c r="D17" s="145" t="s">
        <v>8</v>
      </c>
      <c r="E17" s="147" t="s">
        <v>188</v>
      </c>
      <c r="F17" s="148" t="str">
        <f>CONCATENATE(Table_Query_from_MS_Access_Database8[[#This Row],[RTE]],Table_Query_from_MS_Access_Database8[[#This Row],[SEC]],Table_Query_from_MS_Access_Database8[[#This Row],[SEQ]])</f>
        <v>ELY0200</v>
      </c>
      <c r="G17" s="147" t="s">
        <v>158</v>
      </c>
      <c r="H17" s="147" t="s">
        <v>152</v>
      </c>
      <c r="I17" s="147" t="s">
        <v>189</v>
      </c>
      <c r="J17" s="149"/>
      <c r="K17" s="149">
        <v>42347</v>
      </c>
      <c r="L17" s="149">
        <v>42347</v>
      </c>
      <c r="M17" s="149">
        <v>42347</v>
      </c>
      <c r="N17" s="150"/>
      <c r="O17" s="151"/>
      <c r="P17" s="151"/>
      <c r="Q17" s="151">
        <v>-335358.46999999997</v>
      </c>
      <c r="R17" s="151">
        <f>+Table_Query_from_MS_Access_Database8[[#This Row],[HSIP]]+Table_Query_from_MS_Access_Database8[[#This Row],[PL]]+Table_Query_from_MS_Access_Database8[[#This Row],[SPR]]+Table_Query_from_MS_Access_Database8[[#This Row],[STP OTHER]]</f>
        <v>-335358.46999999997</v>
      </c>
      <c r="S17" s="151">
        <f>S16-Table_Query_from_MS_Access_Database8[TOTAL OF AMOUNT]</f>
        <v>580048.29</v>
      </c>
      <c r="T17" s="83"/>
    </row>
    <row r="18" spans="1:20" s="59" customFormat="1" ht="26.4" x14ac:dyDescent="0.3">
      <c r="A18" s="146" t="s">
        <v>147</v>
      </c>
      <c r="B18" s="146" t="s">
        <v>148</v>
      </c>
      <c r="C18" s="146" t="s">
        <v>149</v>
      </c>
      <c r="D18" s="146" t="s">
        <v>7</v>
      </c>
      <c r="E18" s="147" t="s">
        <v>150</v>
      </c>
      <c r="F18" s="148" t="str">
        <f>CONCATENATE(Table_Query_from_MS_Access_Database8[[#This Row],[RTE]],Table_Query_from_MS_Access_Database8[[#This Row],[SEC]],Table_Query_from_MS_Access_Database8[[#This Row],[SEQ]])</f>
        <v>CSG0204</v>
      </c>
      <c r="G18" s="147" t="s">
        <v>151</v>
      </c>
      <c r="H18" s="147" t="s">
        <v>152</v>
      </c>
      <c r="I18" s="147" t="s">
        <v>153</v>
      </c>
      <c r="J18" s="149">
        <v>42338</v>
      </c>
      <c r="K18" s="149">
        <v>42346</v>
      </c>
      <c r="L18" s="149">
        <v>42349</v>
      </c>
      <c r="M18" s="149">
        <v>42356</v>
      </c>
      <c r="N18" s="150">
        <v>61221.96</v>
      </c>
      <c r="O18" s="151"/>
      <c r="P18" s="151"/>
      <c r="Q18" s="151"/>
      <c r="R18" s="151">
        <f>+Table_Query_from_MS_Access_Database8[[#This Row],[HSIP]]+Table_Query_from_MS_Access_Database8[[#This Row],[PL]]+Table_Query_from_MS_Access_Database8[[#This Row],[SPR]]+Table_Query_from_MS_Access_Database8[[#This Row],[STP OTHER]]</f>
        <v>61221.96</v>
      </c>
      <c r="S18" s="151">
        <f>S17-Table_Query_from_MS_Access_Database8[TOTAL OF AMOUNT]</f>
        <v>518826.33</v>
      </c>
      <c r="T18" s="83"/>
    </row>
    <row r="19" spans="1:20" s="59" customFormat="1" ht="13.2" x14ac:dyDescent="0.3">
      <c r="A19" s="146" t="s">
        <v>154</v>
      </c>
      <c r="B19" s="146" t="s">
        <v>155</v>
      </c>
      <c r="C19" s="146" t="s">
        <v>156</v>
      </c>
      <c r="D19" s="146" t="s">
        <v>7</v>
      </c>
      <c r="E19" s="147" t="s">
        <v>157</v>
      </c>
      <c r="F19" s="148" t="str">
        <f>CONCATENATE(Table_Query_from_MS_Access_Database8[[#This Row],[RTE]],Table_Query_from_MS_Access_Database8[[#This Row],[SEC]],Table_Query_from_MS_Access_Database8[[#This Row],[SEQ]])</f>
        <v>ELY0205</v>
      </c>
      <c r="G19" s="147" t="s">
        <v>158</v>
      </c>
      <c r="H19" s="147" t="s">
        <v>152</v>
      </c>
      <c r="I19" s="147" t="s">
        <v>159</v>
      </c>
      <c r="J19" s="149">
        <v>42317</v>
      </c>
      <c r="K19" s="149">
        <v>42333</v>
      </c>
      <c r="L19" s="149">
        <v>42346</v>
      </c>
      <c r="M19" s="149">
        <v>42356</v>
      </c>
      <c r="N19" s="150">
        <v>230771</v>
      </c>
      <c r="O19" s="151"/>
      <c r="P19" s="151"/>
      <c r="Q19" s="151"/>
      <c r="R19" s="151">
        <f>+Table_Query_from_MS_Access_Database8[[#This Row],[HSIP]]+Table_Query_from_MS_Access_Database8[[#This Row],[PL]]+Table_Query_from_MS_Access_Database8[[#This Row],[SPR]]+Table_Query_from_MS_Access_Database8[[#This Row],[STP OTHER]]</f>
        <v>230771</v>
      </c>
      <c r="S19" s="151">
        <f>S18-Table_Query_from_MS_Access_Database8[TOTAL OF AMOUNT]</f>
        <v>288055.33</v>
      </c>
      <c r="T19" s="83"/>
    </row>
    <row r="20" spans="1:20" s="59" customFormat="1" ht="13.2" x14ac:dyDescent="0.3">
      <c r="A20" s="152" t="s">
        <v>165</v>
      </c>
      <c r="B20" s="152"/>
      <c r="C20" s="152" t="s">
        <v>109</v>
      </c>
      <c r="D20" s="152" t="s">
        <v>8</v>
      </c>
      <c r="E20" s="153" t="s">
        <v>166</v>
      </c>
      <c r="F20" s="154" t="str">
        <f>CONCATENATE(Table_Query_from_MS_Access_Database8[[#This Row],[RTE]],Table_Query_from_MS_Access_Database8[[#This Row],[SEC]],Table_Query_from_MS_Access_Database8[[#This Row],[SEQ]])</f>
        <v>000P188</v>
      </c>
      <c r="G20" s="153" t="s">
        <v>167</v>
      </c>
      <c r="H20" s="153" t="s">
        <v>168</v>
      </c>
      <c r="I20" s="153" t="s">
        <v>169</v>
      </c>
      <c r="J20" s="155"/>
      <c r="K20" s="155">
        <v>42366</v>
      </c>
      <c r="L20" s="155">
        <v>42368</v>
      </c>
      <c r="M20" s="155">
        <v>42375</v>
      </c>
      <c r="N20" s="156"/>
      <c r="O20" s="157"/>
      <c r="P20" s="157">
        <v>94060</v>
      </c>
      <c r="Q20" s="157"/>
      <c r="R20" s="157">
        <f>+Table_Query_from_MS_Access_Database8[[#This Row],[HSIP]]+Table_Query_from_MS_Access_Database8[[#This Row],[PL]]+Table_Query_from_MS_Access_Database8[[#This Row],[SPR]]+Table_Query_from_MS_Access_Database8[[#This Row],[STP OTHER]]</f>
        <v>94060</v>
      </c>
      <c r="S20" s="151">
        <f>S19-Table_Query_from_MS_Access_Database8[TOTAL OF AMOUNT]</f>
        <v>193995.33000000002</v>
      </c>
    </row>
    <row r="21" spans="1:20" s="100" customFormat="1" ht="13.2" x14ac:dyDescent="0.3">
      <c r="A21" s="152" t="s">
        <v>183</v>
      </c>
      <c r="B21" s="152"/>
      <c r="C21" s="152" t="s">
        <v>109</v>
      </c>
      <c r="D21" s="152" t="s">
        <v>8</v>
      </c>
      <c r="E21" s="153" t="s">
        <v>184</v>
      </c>
      <c r="F21" s="154" t="str">
        <f>CONCATENATE(Table_Query_from_MS_Access_Database8[[#This Row],[RTE]],Table_Query_from_MS_Access_Database8[[#This Row],[SEC]],Table_Query_from_MS_Access_Database8[[#This Row],[SEQ]])</f>
        <v>000V188</v>
      </c>
      <c r="G21" s="153" t="s">
        <v>167</v>
      </c>
      <c r="H21" s="153" t="s">
        <v>185</v>
      </c>
      <c r="I21" s="153" t="s">
        <v>169</v>
      </c>
      <c r="J21" s="155"/>
      <c r="K21" s="155">
        <v>42360</v>
      </c>
      <c r="L21" s="155">
        <v>42368</v>
      </c>
      <c r="M21" s="155">
        <v>42388</v>
      </c>
      <c r="N21" s="156"/>
      <c r="O21" s="157">
        <v>85750</v>
      </c>
      <c r="P21" s="157"/>
      <c r="Q21" s="157"/>
      <c r="R21" s="157">
        <f>+Table_Query_from_MS_Access_Database8[[#This Row],[HSIP]]+Table_Query_from_MS_Access_Database8[[#This Row],[PL]]+Table_Query_from_MS_Access_Database8[[#This Row],[SPR]]+Table_Query_from_MS_Access_Database8[[#This Row],[STP OTHER]]</f>
        <v>85750</v>
      </c>
      <c r="S21" s="151">
        <f>S20-Table_Query_from_MS_Access_Database8[TOTAL OF AMOUNT]</f>
        <v>108245.33000000002</v>
      </c>
      <c r="T21" s="61"/>
    </row>
    <row r="22" spans="1:20" s="100" customFormat="1" ht="13.2" x14ac:dyDescent="0.3">
      <c r="A22" s="165" t="s">
        <v>154</v>
      </c>
      <c r="B22" s="165" t="s">
        <v>155</v>
      </c>
      <c r="C22" s="165" t="s">
        <v>156</v>
      </c>
      <c r="D22" s="165" t="s">
        <v>21</v>
      </c>
      <c r="E22" s="166" t="s">
        <v>157</v>
      </c>
      <c r="F22" s="167" t="str">
        <f>CONCATENATE(Table_Query_from_MS_Access_Database8[[#This Row],[RTE]],Table_Query_from_MS_Access_Database8[[#This Row],[SEC]],Table_Query_from_MS_Access_Database8[[#This Row],[SEQ]])</f>
        <v>ELY0205</v>
      </c>
      <c r="G22" s="166" t="s">
        <v>158</v>
      </c>
      <c r="H22" s="166" t="s">
        <v>152</v>
      </c>
      <c r="I22" s="166" t="s">
        <v>159</v>
      </c>
      <c r="J22" s="85"/>
      <c r="K22" s="85">
        <v>42459</v>
      </c>
      <c r="L22" s="85">
        <v>42465</v>
      </c>
      <c r="M22" s="85">
        <v>42467</v>
      </c>
      <c r="N22" s="168">
        <v>-90178</v>
      </c>
      <c r="O22" s="169"/>
      <c r="P22" s="169"/>
      <c r="Q22" s="169"/>
      <c r="R22" s="169">
        <f>+Table_Query_from_MS_Access_Database8[[#This Row],[HSIP]]+Table_Query_from_MS_Access_Database8[[#This Row],[PL]]+Table_Query_from_MS_Access_Database8[[#This Row],[SPR]]+Table_Query_from_MS_Access_Database8[[#This Row],[STP OTHER]]</f>
        <v>-90178</v>
      </c>
      <c r="S22" s="151">
        <f>S21-Table_Query_from_MS_Access_Database8[TOTAL OF AMOUNT]</f>
        <v>198423.33000000002</v>
      </c>
      <c r="T22" s="61"/>
    </row>
    <row r="23" spans="1:20" s="100" customFormat="1" ht="13.2" x14ac:dyDescent="0.3">
      <c r="A23" s="170" t="s">
        <v>198</v>
      </c>
      <c r="B23" s="170"/>
      <c r="C23" s="170" t="s">
        <v>173</v>
      </c>
      <c r="D23" s="170" t="s">
        <v>9</v>
      </c>
      <c r="E23" s="171" t="s">
        <v>199</v>
      </c>
      <c r="F23" s="172" t="str">
        <f>CONCATENATE(Table_Query_from_MS_Access_Database8[[#This Row],[RTE]],Table_Query_from_MS_Access_Database8[[#This Row],[SEC]],Table_Query_from_MS_Access_Database8[[#This Row],[SEQ]])</f>
        <v>CLG0200</v>
      </c>
      <c r="G23" s="171" t="s">
        <v>175</v>
      </c>
      <c r="H23" s="171" t="s">
        <v>152</v>
      </c>
      <c r="I23" s="171" t="s">
        <v>189</v>
      </c>
      <c r="J23" s="173"/>
      <c r="K23" s="173">
        <v>42524</v>
      </c>
      <c r="L23" s="173">
        <v>42524</v>
      </c>
      <c r="M23" s="173">
        <v>42527</v>
      </c>
      <c r="N23" s="174"/>
      <c r="O23" s="175"/>
      <c r="P23" s="175"/>
      <c r="Q23" s="175">
        <v>-27819.89</v>
      </c>
      <c r="R23" s="175">
        <f>+Table_Query_from_MS_Access_Database8[[#This Row],[HSIP]]+Table_Query_from_MS_Access_Database8[[#This Row],[PL]]+Table_Query_from_MS_Access_Database8[[#This Row],[SPR]]+Table_Query_from_MS_Access_Database8[[#This Row],[STP OTHER]]</f>
        <v>-27819.89</v>
      </c>
      <c r="S23" s="151">
        <f>S22-Table_Query_from_MS_Access_Database8[TOTAL OF AMOUNT]</f>
        <v>226243.22000000003</v>
      </c>
      <c r="T23" s="61"/>
    </row>
    <row r="24" spans="1:20" s="100" customFormat="1" ht="26.4" x14ac:dyDescent="0.3">
      <c r="A24" s="170" t="s">
        <v>191</v>
      </c>
      <c r="B24" s="170" t="s">
        <v>177</v>
      </c>
      <c r="C24" s="170" t="s">
        <v>149</v>
      </c>
      <c r="D24" s="170" t="s">
        <v>7</v>
      </c>
      <c r="E24" s="171" t="s">
        <v>178</v>
      </c>
      <c r="F24" s="172" t="str">
        <f>CONCATENATE(Table_Query_from_MS_Access_Database8[[#This Row],[RTE]],Table_Query_from_MS_Access_Database8[[#This Row],[SEC]],Table_Query_from_MS_Access_Database8[[#This Row],[SEQ]])</f>
        <v>CSG0206</v>
      </c>
      <c r="G24" s="171" t="s">
        <v>151</v>
      </c>
      <c r="H24" s="171" t="s">
        <v>152</v>
      </c>
      <c r="I24" s="171" t="s">
        <v>176</v>
      </c>
      <c r="J24" s="173"/>
      <c r="K24" s="173">
        <v>42514</v>
      </c>
      <c r="L24" s="173">
        <v>42514</v>
      </c>
      <c r="M24" s="173">
        <v>42530</v>
      </c>
      <c r="N24" s="174">
        <v>105000</v>
      </c>
      <c r="O24" s="175"/>
      <c r="P24" s="175"/>
      <c r="Q24" s="175"/>
      <c r="R24" s="175">
        <f>+Table_Query_from_MS_Access_Database8[[#This Row],[HSIP]]+Table_Query_from_MS_Access_Database8[[#This Row],[PL]]+Table_Query_from_MS_Access_Database8[[#This Row],[SPR]]+Table_Query_from_MS_Access_Database8[[#This Row],[STP OTHER]]</f>
        <v>105000</v>
      </c>
      <c r="S24" s="151">
        <f>S23-Table_Query_from_MS_Access_Database8[TOTAL OF AMOUNT]</f>
        <v>121243.22000000003</v>
      </c>
      <c r="T24" s="61"/>
    </row>
    <row r="25" spans="1:20" s="100" customFormat="1" ht="13.2" x14ac:dyDescent="0.3">
      <c r="A25" s="170" t="s">
        <v>179</v>
      </c>
      <c r="B25" s="170"/>
      <c r="C25" s="170" t="s">
        <v>109</v>
      </c>
      <c r="D25" s="170" t="s">
        <v>8</v>
      </c>
      <c r="E25" s="171" t="s">
        <v>180</v>
      </c>
      <c r="F25" s="172" t="str">
        <f>CONCATENATE(Table_Query_from_MS_Access_Database8[[#This Row],[RTE]],Table_Query_from_MS_Access_Database8[[#This Row],[SEC]],Table_Query_from_MS_Access_Database8[[#This Row],[SEQ]])</f>
        <v>999A481</v>
      </c>
      <c r="G25" s="171" t="s">
        <v>181</v>
      </c>
      <c r="H25" s="171" t="s">
        <v>164</v>
      </c>
      <c r="I25" s="171" t="s">
        <v>182</v>
      </c>
      <c r="J25" s="173"/>
      <c r="K25" s="173">
        <v>42523</v>
      </c>
      <c r="L25" s="173">
        <v>42527</v>
      </c>
      <c r="M25" s="173">
        <v>42534</v>
      </c>
      <c r="N25" s="174"/>
      <c r="O25" s="175"/>
      <c r="P25" s="175"/>
      <c r="Q25" s="175">
        <v>4745</v>
      </c>
      <c r="R25" s="175">
        <f>+Table_Query_from_MS_Access_Database8[[#This Row],[HSIP]]+Table_Query_from_MS_Access_Database8[[#This Row],[PL]]+Table_Query_from_MS_Access_Database8[[#This Row],[SPR]]+Table_Query_from_MS_Access_Database8[[#This Row],[STP OTHER]]</f>
        <v>4745</v>
      </c>
      <c r="S25" s="151">
        <f>S24-Table_Query_from_MS_Access_Database8[TOTAL OF AMOUNT]</f>
        <v>116498.22000000003</v>
      </c>
      <c r="T25" s="61"/>
    </row>
    <row r="26" spans="1:20" s="100" customFormat="1" ht="13.2" x14ac:dyDescent="0.3">
      <c r="A26" s="170" t="s">
        <v>160</v>
      </c>
      <c r="B26" s="170" t="s">
        <v>161</v>
      </c>
      <c r="C26" s="170" t="s">
        <v>122</v>
      </c>
      <c r="D26" s="170" t="s">
        <v>7</v>
      </c>
      <c r="E26" s="171" t="s">
        <v>162</v>
      </c>
      <c r="F26" s="172" t="str">
        <f>CONCATENATE(Table_Query_from_MS_Access_Database8[[#This Row],[RTE]],Table_Query_from_MS_Access_Database8[[#This Row],[SEC]],Table_Query_from_MS_Access_Database8[[#This Row],[SEQ]])</f>
        <v>094A475</v>
      </c>
      <c r="G26" s="171" t="s">
        <v>163</v>
      </c>
      <c r="H26" s="171" t="s">
        <v>164</v>
      </c>
      <c r="I26" s="171" t="s">
        <v>200</v>
      </c>
      <c r="J26" s="173">
        <v>42522</v>
      </c>
      <c r="K26" s="173">
        <v>42534</v>
      </c>
      <c r="L26" s="173">
        <v>42535</v>
      </c>
      <c r="M26" s="173">
        <v>42551</v>
      </c>
      <c r="N26" s="174"/>
      <c r="O26" s="175"/>
      <c r="P26" s="175"/>
      <c r="Q26" s="175">
        <v>500</v>
      </c>
      <c r="R26" s="175">
        <f>+Table_Query_from_MS_Access_Database8[[#This Row],[HSIP]]+Table_Query_from_MS_Access_Database8[[#This Row],[PL]]+Table_Query_from_MS_Access_Database8[[#This Row],[SPR]]+Table_Query_from_MS_Access_Database8[[#This Row],[STP OTHER]]</f>
        <v>500</v>
      </c>
      <c r="S26" s="151">
        <f>S25-Table_Query_from_MS_Access_Database8[TOTAL OF AMOUNT]</f>
        <v>115998.22000000003</v>
      </c>
      <c r="T26" s="61"/>
    </row>
    <row r="27" spans="1:20" s="100" customFormat="1" ht="13.2" x14ac:dyDescent="0.3">
      <c r="A27" s="170" t="s">
        <v>179</v>
      </c>
      <c r="B27" s="170"/>
      <c r="C27" s="170" t="s">
        <v>109</v>
      </c>
      <c r="D27" s="170" t="s">
        <v>8</v>
      </c>
      <c r="E27" s="171" t="s">
        <v>180</v>
      </c>
      <c r="F27" s="172" t="str">
        <f>CONCATENATE(Table_Query_from_MS_Access_Database8[[#This Row],[RTE]],Table_Query_from_MS_Access_Database8[[#This Row],[SEC]],Table_Query_from_MS_Access_Database8[[#This Row],[SEQ]])</f>
        <v>999A481</v>
      </c>
      <c r="G27" s="171" t="s">
        <v>181</v>
      </c>
      <c r="H27" s="171" t="s">
        <v>164</v>
      </c>
      <c r="I27" s="171" t="s">
        <v>182</v>
      </c>
      <c r="J27" s="173">
        <v>42535</v>
      </c>
      <c r="K27" s="173">
        <v>42535</v>
      </c>
      <c r="L27" s="173">
        <v>42551</v>
      </c>
      <c r="M27" s="173">
        <v>42557</v>
      </c>
      <c r="N27" s="174"/>
      <c r="O27" s="175"/>
      <c r="P27" s="175"/>
      <c r="Q27" s="175">
        <v>29745</v>
      </c>
      <c r="R27" s="175">
        <f>+Table_Query_from_MS_Access_Database8[[#This Row],[HSIP]]+Table_Query_from_MS_Access_Database8[[#This Row],[PL]]+Table_Query_from_MS_Access_Database8[[#This Row],[SPR]]+Table_Query_from_MS_Access_Database8[[#This Row],[STP OTHER]]</f>
        <v>29745</v>
      </c>
      <c r="S27" s="151">
        <f>S26-Table_Query_from_MS_Access_Database8[TOTAL OF AMOUNT]</f>
        <v>86253.22000000003</v>
      </c>
      <c r="T27" s="61"/>
    </row>
    <row r="28" spans="1:20" s="100" customFormat="1" ht="26.4" x14ac:dyDescent="0.3">
      <c r="A28" s="183" t="s">
        <v>147</v>
      </c>
      <c r="B28" s="183" t="s">
        <v>148</v>
      </c>
      <c r="C28" s="183" t="s">
        <v>149</v>
      </c>
      <c r="D28" s="183" t="s">
        <v>21</v>
      </c>
      <c r="E28" s="184" t="s">
        <v>150</v>
      </c>
      <c r="F28" s="185" t="str">
        <f>CONCATENATE(Table_Query_from_MS_Access_Database8[[#This Row],[RTE]],Table_Query_from_MS_Access_Database8[[#This Row],[SEC]],Table_Query_from_MS_Access_Database8[[#This Row],[SEQ]])</f>
        <v>CSG0204</v>
      </c>
      <c r="G28" s="184" t="s">
        <v>151</v>
      </c>
      <c r="H28" s="184" t="s">
        <v>152</v>
      </c>
      <c r="I28" s="184" t="s">
        <v>153</v>
      </c>
      <c r="J28" s="186"/>
      <c r="K28" s="186">
        <v>42571</v>
      </c>
      <c r="L28" s="186">
        <v>42592</v>
      </c>
      <c r="M28" s="186">
        <v>42597</v>
      </c>
      <c r="N28" s="187">
        <v>-29388.959999999999</v>
      </c>
      <c r="O28" s="188"/>
      <c r="P28" s="188"/>
      <c r="Q28" s="188"/>
      <c r="R28" s="188">
        <f>+Table_Query_from_MS_Access_Database8[[#This Row],[HSIP]]+Table_Query_from_MS_Access_Database8[[#This Row],[PL]]+Table_Query_from_MS_Access_Database8[[#This Row],[SPR]]+Table_Query_from_MS_Access_Database8[[#This Row],[STP OTHER]]</f>
        <v>-29388.959999999999</v>
      </c>
      <c r="S28" s="151">
        <f>S27-Table_Query_from_MS_Access_Database8[TOTAL OF AMOUNT]</f>
        <v>115642.18000000002</v>
      </c>
      <c r="T28" s="61"/>
    </row>
    <row r="29" spans="1:20" s="100" customFormat="1" ht="13.2" x14ac:dyDescent="0.3">
      <c r="A29" s="216" t="s">
        <v>201</v>
      </c>
      <c r="B29" s="216" t="s">
        <v>161</v>
      </c>
      <c r="C29" s="216" t="s">
        <v>109</v>
      </c>
      <c r="D29" s="216" t="s">
        <v>7</v>
      </c>
      <c r="E29" s="217" t="s">
        <v>202</v>
      </c>
      <c r="F29" s="218" t="str">
        <f>CONCATENATE(Table_Query_from_MS_Access_Database8[[#This Row],[RTE]],Table_Query_from_MS_Access_Database8[[#This Row],[SEC]],Table_Query_from_MS_Access_Database8[[#This Row],[SEQ]])</f>
        <v>SCMP017</v>
      </c>
      <c r="G29" s="217" t="s">
        <v>203</v>
      </c>
      <c r="H29" s="217" t="s">
        <v>168</v>
      </c>
      <c r="I29" s="217" t="s">
        <v>204</v>
      </c>
      <c r="J29" s="219">
        <v>42552</v>
      </c>
      <c r="K29" s="219">
        <v>42595</v>
      </c>
      <c r="L29" s="219">
        <v>42608</v>
      </c>
      <c r="M29" s="219">
        <v>42614</v>
      </c>
      <c r="N29" s="220"/>
      <c r="O29" s="221">
        <v>27660.75</v>
      </c>
      <c r="P29" s="221"/>
      <c r="Q29" s="221"/>
      <c r="R29" s="221">
        <f>+Table_Query_from_MS_Access_Database8[[#This Row],[HSIP]]+Table_Query_from_MS_Access_Database8[[#This Row],[PL]]+Table_Query_from_MS_Access_Database8[[#This Row],[SPR]]+Table_Query_from_MS_Access_Database8[[#This Row],[STP OTHER]]</f>
        <v>27660.75</v>
      </c>
      <c r="S29" s="151">
        <f>S28-Table_Query_from_MS_Access_Database8[TOTAL OF AMOUNT]</f>
        <v>87981.430000000022</v>
      </c>
      <c r="T29" s="61"/>
    </row>
    <row r="30" spans="1:20" s="100" customFormat="1" ht="13.2" x14ac:dyDescent="0.3">
      <c r="A30" s="216" t="s">
        <v>205</v>
      </c>
      <c r="B30" s="216"/>
      <c r="C30" s="216" t="s">
        <v>109</v>
      </c>
      <c r="D30" s="216" t="s">
        <v>7</v>
      </c>
      <c r="E30" s="217" t="s">
        <v>170</v>
      </c>
      <c r="F30" s="218" t="str">
        <f>CONCATENATE(Table_Query_from_MS_Access_Database8[[#This Row],[RTE]],Table_Query_from_MS_Access_Database8[[#This Row],[SEC]],Table_Query_from_MS_Access_Database8[[#This Row],[SEQ]])</f>
        <v>SCMS017</v>
      </c>
      <c r="G30" s="217" t="s">
        <v>203</v>
      </c>
      <c r="H30" s="217" t="s">
        <v>206</v>
      </c>
      <c r="I30" s="217" t="s">
        <v>204</v>
      </c>
      <c r="J30" s="219">
        <v>42552</v>
      </c>
      <c r="K30" s="219">
        <v>42595</v>
      </c>
      <c r="L30" s="219">
        <v>42613</v>
      </c>
      <c r="M30" s="219">
        <v>42625</v>
      </c>
      <c r="N30" s="220"/>
      <c r="O30" s="221"/>
      <c r="P30" s="221">
        <v>29394</v>
      </c>
      <c r="Q30" s="221"/>
      <c r="R30" s="221">
        <f>+Table_Query_from_MS_Access_Database8[[#This Row],[HSIP]]+Table_Query_from_MS_Access_Database8[[#This Row],[PL]]+Table_Query_from_MS_Access_Database8[[#This Row],[SPR]]+Table_Query_from_MS_Access_Database8[[#This Row],[STP OTHER]]</f>
        <v>29394</v>
      </c>
      <c r="S30" s="151">
        <f>S29-Table_Query_from_MS_Access_Database8[TOTAL OF AMOUNT]</f>
        <v>58587.430000000022</v>
      </c>
      <c r="T30" s="61"/>
    </row>
    <row r="31" spans="1:20" s="100" customFormat="1" ht="13.2" x14ac:dyDescent="0.3">
      <c r="A31" s="59"/>
      <c r="B31" s="59"/>
      <c r="C31" s="59"/>
      <c r="D31" s="59"/>
      <c r="E31" s="95"/>
      <c r="F31" s="95"/>
      <c r="G31" s="95"/>
      <c r="H31" s="95"/>
      <c r="I31" s="95"/>
      <c r="J31" s="95"/>
      <c r="K31" s="95"/>
      <c r="L31" s="95"/>
      <c r="M31" s="84" t="s">
        <v>86</v>
      </c>
      <c r="N31" s="117">
        <f>SUM(Table_Query_from_MS_Access_Database8[[#All],[HSIP]])</f>
        <v>233099.18000000002</v>
      </c>
      <c r="O31" s="117">
        <f>SUM(Table_Query_from_MS_Access_Database8[[#All],[PL]])</f>
        <v>113410.75</v>
      </c>
      <c r="P31" s="117">
        <f>SUM(Table_Query_from_MS_Access_Database8[[#All],[SPR]])</f>
        <v>123454</v>
      </c>
      <c r="Q31" s="117">
        <f>SUM(Table_Query_from_MS_Access_Database8[[#All],[STP OTHER]])</f>
        <v>-328188.36</v>
      </c>
      <c r="R31" s="117">
        <f>SUM(Table_Query_from_MS_Access_Database8[[#All],[TOTAL OF AMOUNT]])</f>
        <v>141775.57000000004</v>
      </c>
      <c r="S31" s="118"/>
      <c r="T31" s="61"/>
    </row>
    <row r="32" spans="1:20" s="100" customFormat="1" ht="13.2" x14ac:dyDescent="0.3">
      <c r="A32" s="101"/>
      <c r="B32" s="101"/>
      <c r="C32" s="101"/>
      <c r="D32" s="101"/>
      <c r="E32" s="95"/>
      <c r="F32" s="95"/>
      <c r="G32" s="95"/>
      <c r="H32" s="95"/>
      <c r="I32" s="95"/>
      <c r="J32" s="95"/>
      <c r="K32" s="95"/>
      <c r="L32" s="95"/>
      <c r="M32" s="84" t="s">
        <v>85</v>
      </c>
      <c r="N32" s="113">
        <f>+N12-N31</f>
        <v>89477.25211718402</v>
      </c>
      <c r="O32" s="113">
        <f>+O12-O31</f>
        <v>3137.3699999999953</v>
      </c>
      <c r="P32" s="113">
        <f>+P12-P31</f>
        <v>1546</v>
      </c>
      <c r="Q32" s="113">
        <f>+Q12-Q31</f>
        <v>27574.962117697927</v>
      </c>
      <c r="R32" s="113">
        <f>+R12-R31</f>
        <v>121735.58423488194</v>
      </c>
      <c r="S32" s="110"/>
      <c r="T32" s="61"/>
    </row>
    <row r="33" spans="1:20" s="100" customFormat="1" ht="15" x14ac:dyDescent="0.3">
      <c r="A33" s="96"/>
      <c r="B33" s="96"/>
      <c r="C33" s="96"/>
      <c r="D33" s="96"/>
      <c r="E33" s="97"/>
      <c r="F33" s="97"/>
      <c r="G33" s="97"/>
      <c r="H33" s="97"/>
      <c r="I33" s="97"/>
      <c r="J33" s="97"/>
      <c r="K33" s="97"/>
      <c r="L33" s="97"/>
      <c r="M33" s="96"/>
      <c r="N33" s="96"/>
      <c r="O33" s="96"/>
      <c r="P33" s="96"/>
      <c r="Q33" s="96"/>
      <c r="R33" s="96"/>
      <c r="S33" s="55"/>
      <c r="T33" s="61"/>
    </row>
    <row r="34" spans="1:20" s="100" customFormat="1" ht="16.8" x14ac:dyDescent="0.3">
      <c r="A34" s="191" t="s">
        <v>36</v>
      </c>
      <c r="B34" s="191"/>
      <c r="C34" s="191"/>
      <c r="D34" s="191"/>
      <c r="E34" s="60"/>
      <c r="F34" s="60"/>
      <c r="G34" s="96"/>
      <c r="H34" s="96"/>
      <c r="I34" s="96"/>
      <c r="J34" s="98"/>
      <c r="K34" s="55"/>
      <c r="L34" s="55"/>
      <c r="M34" s="55"/>
      <c r="N34" s="55"/>
      <c r="O34" s="55"/>
      <c r="P34" s="55"/>
      <c r="Q34" s="97"/>
      <c r="R34" s="97"/>
      <c r="S34" s="55"/>
      <c r="T34" s="61"/>
    </row>
    <row r="35" spans="1:20" s="100" customFormat="1" ht="39.6" x14ac:dyDescent="0.3">
      <c r="A35" s="93" t="s">
        <v>1</v>
      </c>
      <c r="B35" s="93" t="s">
        <v>0</v>
      </c>
      <c r="C35" s="93" t="s">
        <v>3</v>
      </c>
      <c r="D35" s="93" t="s">
        <v>94</v>
      </c>
      <c r="E35" s="93" t="s">
        <v>2</v>
      </c>
      <c r="F35" s="93" t="s">
        <v>60</v>
      </c>
      <c r="G35" s="93" t="s">
        <v>52</v>
      </c>
      <c r="H35" s="93" t="s">
        <v>53</v>
      </c>
      <c r="I35" s="93" t="s">
        <v>54</v>
      </c>
      <c r="J35" s="93" t="s">
        <v>55</v>
      </c>
      <c r="K35" s="93" t="s">
        <v>56</v>
      </c>
      <c r="L35" s="93" t="s">
        <v>57</v>
      </c>
      <c r="M35" s="93" t="s">
        <v>58</v>
      </c>
      <c r="N35" s="93" t="s">
        <v>4</v>
      </c>
      <c r="O35" s="93" t="s">
        <v>45</v>
      </c>
      <c r="P35" s="93" t="s">
        <v>5</v>
      </c>
      <c r="Q35" s="93" t="s">
        <v>59</v>
      </c>
      <c r="R35" s="93" t="s">
        <v>97</v>
      </c>
      <c r="S35" s="99" t="s">
        <v>61</v>
      </c>
      <c r="T35" s="61"/>
    </row>
    <row r="36" spans="1:20" s="56" customFormat="1" x14ac:dyDescent="0.3">
      <c r="A36" s="59"/>
      <c r="B36" s="59"/>
      <c r="C36" s="59"/>
      <c r="D36" s="59"/>
      <c r="E36" s="59"/>
      <c r="F36" s="101" t="str">
        <f>CONCATENATE(Table_Query_from_MS_Access_Database_1[[#This Row],[RTE]],Table_Query_from_MS_Access_Database_1[[#This Row],[SEC]],Table_Query_from_MS_Access_Database_1[[#This Row],[SEQ]])</f>
        <v/>
      </c>
      <c r="G36" s="101"/>
      <c r="H36" s="101"/>
      <c r="I36" s="101"/>
      <c r="J36" s="134"/>
      <c r="K36" s="134"/>
      <c r="L36" s="134"/>
      <c r="M36" s="89"/>
      <c r="N36" s="108"/>
      <c r="O36" s="108"/>
      <c r="P36" s="108"/>
      <c r="Q36" s="109"/>
      <c r="R36" s="108">
        <f>+SUM(Table_Query_from_MS_Access_Database_1[[#This Row],[HSIP]:[STP OTHER]])</f>
        <v>0</v>
      </c>
      <c r="S36" s="110">
        <f>S30-Table_Query_from_MS_Access_Database_1[TOTAL OF AMOUNT]</f>
        <v>58587.430000000022</v>
      </c>
    </row>
    <row r="37" spans="1:20" s="56" customFormat="1" x14ac:dyDescent="0.3">
      <c r="A37" s="59"/>
      <c r="B37" s="59"/>
      <c r="C37" s="59"/>
      <c r="D37" s="59"/>
      <c r="E37" s="59"/>
      <c r="F37" s="59"/>
      <c r="G37" s="59"/>
      <c r="H37" s="59"/>
      <c r="I37" s="59"/>
      <c r="J37" s="61"/>
      <c r="K37" s="61"/>
      <c r="L37" s="61"/>
      <c r="M37" s="86" t="s">
        <v>98</v>
      </c>
      <c r="N37" s="111">
        <f>SUM(Table_Query_from_MS_Access_Database_1[[#All],[HSIP]])</f>
        <v>0</v>
      </c>
      <c r="O37" s="111">
        <f>SUM(Table_Query_from_MS_Access_Database_1[[#All],[PL]])</f>
        <v>0</v>
      </c>
      <c r="P37" s="111">
        <f>SUM(Table_Query_from_MS_Access_Database_1[[#All],[SPR]])</f>
        <v>0</v>
      </c>
      <c r="Q37" s="111">
        <f>SUM(Table_Query_from_MS_Access_Database_1[[#All],[STP OTHER]])</f>
        <v>0</v>
      </c>
      <c r="R37" s="111">
        <f>SUM(Table_Query_from_MS_Access_Database_1[[#All],[TOTAL OF AMOUNT]])</f>
        <v>0</v>
      </c>
      <c r="S37" s="112"/>
    </row>
    <row r="38" spans="1:20" s="59" customFormat="1" ht="13.2" x14ac:dyDescent="0.3">
      <c r="J38" s="61"/>
      <c r="K38" s="61"/>
      <c r="L38" s="61"/>
      <c r="M38" s="87" t="s">
        <v>85</v>
      </c>
      <c r="N38" s="113">
        <f>+N32-N37</f>
        <v>89477.25211718402</v>
      </c>
      <c r="O38" s="113">
        <f>+O32-O37</f>
        <v>3137.3699999999953</v>
      </c>
      <c r="P38" s="113">
        <f>+P32-P37</f>
        <v>1546</v>
      </c>
      <c r="Q38" s="113">
        <f>+Q32-Q37</f>
        <v>27574.962117697927</v>
      </c>
      <c r="R38" s="113">
        <f>+R32-R37</f>
        <v>121735.58423488194</v>
      </c>
      <c r="S38" s="114"/>
    </row>
    <row r="39" spans="1:20" s="59" customFormat="1" x14ac:dyDescent="0.3">
      <c r="A39" s="56"/>
      <c r="B39" s="56"/>
      <c r="C39" s="56"/>
      <c r="D39" s="56"/>
      <c r="E39" s="56"/>
      <c r="F39" s="56"/>
      <c r="G39" s="56"/>
      <c r="H39" s="56"/>
      <c r="I39" s="56"/>
      <c r="J39" s="58"/>
      <c r="K39" s="58"/>
      <c r="L39" s="58"/>
      <c r="M39" s="58"/>
      <c r="N39" s="58"/>
      <c r="O39" s="58"/>
      <c r="P39" s="58"/>
      <c r="Q39" s="58"/>
      <c r="R39" s="56"/>
      <c r="S39" s="56"/>
    </row>
    <row r="40" spans="1:20" s="59" customFormat="1" x14ac:dyDescent="0.3">
      <c r="A40" s="56"/>
      <c r="B40" s="56"/>
      <c r="C40" s="56"/>
      <c r="D40" s="56"/>
      <c r="E40" s="56"/>
      <c r="F40" s="56"/>
      <c r="G40" s="56"/>
      <c r="H40" s="56"/>
      <c r="I40" s="56"/>
      <c r="J40" s="58"/>
      <c r="K40" s="58"/>
      <c r="L40" s="58"/>
      <c r="M40" s="58"/>
      <c r="N40" s="58"/>
      <c r="O40" s="58"/>
      <c r="P40" s="58"/>
      <c r="Q40" s="58"/>
      <c r="R40" s="56"/>
      <c r="S40" s="56"/>
    </row>
    <row r="41" spans="1:20" s="59" customFormat="1" ht="16.8" x14ac:dyDescent="0.3">
      <c r="A41" s="62" t="s">
        <v>87</v>
      </c>
      <c r="B41" s="56"/>
      <c r="C41" s="56"/>
      <c r="D41" s="56"/>
      <c r="E41" s="56"/>
      <c r="F41" s="56"/>
      <c r="G41" s="56"/>
      <c r="H41" s="56"/>
      <c r="I41" s="56"/>
      <c r="J41" s="58"/>
      <c r="K41" s="58"/>
      <c r="L41" s="58"/>
      <c r="M41" s="58"/>
      <c r="N41" s="189" t="s">
        <v>66</v>
      </c>
      <c r="O41" s="189"/>
      <c r="P41" s="189"/>
      <c r="Q41" s="189"/>
      <c r="R41" s="60"/>
      <c r="S41" s="56"/>
    </row>
    <row r="42" spans="1:20" s="56" customFormat="1" x14ac:dyDescent="0.3">
      <c r="J42" s="58"/>
      <c r="K42" s="58"/>
      <c r="L42" s="58"/>
      <c r="M42" s="88"/>
      <c r="N42" s="90" t="s">
        <v>4</v>
      </c>
      <c r="O42" s="90" t="s">
        <v>45</v>
      </c>
      <c r="P42" s="90" t="s">
        <v>5</v>
      </c>
      <c r="Q42" s="90" t="s">
        <v>67</v>
      </c>
      <c r="R42" s="90" t="s">
        <v>62</v>
      </c>
      <c r="S42" s="70" t="s">
        <v>68</v>
      </c>
    </row>
    <row r="43" spans="1:20" x14ac:dyDescent="0.3">
      <c r="A43" s="59"/>
      <c r="B43" s="59"/>
      <c r="C43" s="59"/>
      <c r="D43" s="59"/>
      <c r="E43" s="59"/>
      <c r="F43" s="59"/>
      <c r="G43" s="59"/>
      <c r="H43" s="59"/>
      <c r="I43" s="59"/>
      <c r="J43" s="61"/>
      <c r="K43" s="61"/>
      <c r="L43" s="61"/>
      <c r="M43" s="124" t="s">
        <v>138</v>
      </c>
      <c r="N43" s="106">
        <f>+N38</f>
        <v>89477.25211718402</v>
      </c>
      <c r="O43" s="106">
        <f>+O38</f>
        <v>3137.3699999999953</v>
      </c>
      <c r="P43" s="106">
        <f>+P38</f>
        <v>1546</v>
      </c>
      <c r="Q43" s="106">
        <f>+Q38</f>
        <v>27574.962117697927</v>
      </c>
      <c r="R43" s="106">
        <f>SUM(N43:Q43)</f>
        <v>121735.58423488194</v>
      </c>
      <c r="S43" s="106">
        <v>0</v>
      </c>
    </row>
    <row r="44" spans="1:20" x14ac:dyDescent="0.3">
      <c r="A44" s="59"/>
      <c r="B44" s="59"/>
      <c r="C44" s="59"/>
      <c r="D44" s="59"/>
      <c r="E44" s="59"/>
      <c r="F44" s="59"/>
      <c r="G44" s="59"/>
      <c r="H44" s="59"/>
      <c r="I44" s="59"/>
      <c r="J44" s="61"/>
      <c r="K44" s="61"/>
      <c r="L44" s="61"/>
      <c r="M44" s="124" t="s">
        <v>139</v>
      </c>
      <c r="N44" s="126">
        <f>SUMIFS(Table_Query_from_MS_Access_Database[[#All],[HSIP]],Table_Query_from_MS_Access_Database[[#All],[Transaction Year]],"2015",Table_Query_from_MS_Access_Database[[#All],[Transaction Type]],"Lapsing")</f>
        <v>0</v>
      </c>
      <c r="O44" s="126">
        <f>SUMIFS(Table_Query_from_MS_Access_Database[[#All],[PL]],Table_Query_from_MS_Access_Database[[#All],[Transaction Year]],"2015",Table_Query_from_MS_Access_Database[[#All],[Transaction Type]],"Lapsing")</f>
        <v>0</v>
      </c>
      <c r="P44" s="126">
        <f>SUMIFS(Table_Query_from_MS_Access_Database[[#All],[SPR]],Table_Query_from_MS_Access_Database[[#All],[Transaction Year]],"2015",Table_Query_from_MS_Access_Database[[#All],[Transaction Type]],"Lapsing")</f>
        <v>0</v>
      </c>
      <c r="Q44" s="126">
        <f>SUMIFS(Table_Query_from_MS_Access_Database[[#All],[STP other]],Table_Query_from_MS_Access_Database[[#All],[Transaction Year]],"2015",Table_Query_from_MS_Access_Database[[#All],[Transaction Type]],"Lapsing")</f>
        <v>0</v>
      </c>
      <c r="R44" s="126">
        <f>SUM(N44:Q44)</f>
        <v>0</v>
      </c>
      <c r="S44" s="126">
        <f>SUMIFS(Table_Query_from_MS_Access_Database_16[[#All],[Total]],Table_Query_from_MS_Access_Database_16[[#All],[Transaction Year]],"2015",Table_Query_from_MS_Access_Database_16[[#All],[Transaction Type]],"Lapsing")</f>
        <v>0</v>
      </c>
    </row>
    <row r="45" spans="1:20" x14ac:dyDescent="0.3">
      <c r="A45" s="59"/>
      <c r="B45" s="59"/>
      <c r="C45" s="59"/>
      <c r="D45" s="59"/>
      <c r="E45" s="59"/>
      <c r="F45" s="59"/>
      <c r="G45" s="59"/>
      <c r="H45" s="59"/>
      <c r="I45" s="59"/>
      <c r="J45" s="61"/>
      <c r="K45" s="61"/>
      <c r="L45" s="61"/>
      <c r="M45" s="124" t="s">
        <v>140</v>
      </c>
      <c r="N45" s="107">
        <f>SUM(N43:N44)-N46</f>
        <v>55316.25211718402</v>
      </c>
      <c r="O45" s="107">
        <f>SUM(O43:O44)</f>
        <v>3137.3699999999953</v>
      </c>
      <c r="P45" s="107">
        <f>SUM(P43:P44)</f>
        <v>1546</v>
      </c>
      <c r="Q45" s="107">
        <f>SUM(Q43:Q44)-Q46</f>
        <v>0.9621176979271695</v>
      </c>
      <c r="R45" s="107">
        <f>SUM(N45:Q45)</f>
        <v>60000.584234881942</v>
      </c>
      <c r="S45" s="107">
        <v>0</v>
      </c>
    </row>
    <row r="46" spans="1:20" x14ac:dyDescent="0.3">
      <c r="A46" s="59"/>
      <c r="B46" s="59"/>
      <c r="C46" s="59"/>
      <c r="D46" s="59"/>
      <c r="E46" s="59"/>
      <c r="F46" s="59"/>
      <c r="G46" s="59"/>
      <c r="H46" s="59"/>
      <c r="I46" s="59"/>
      <c r="J46" s="61"/>
      <c r="K46" s="61"/>
      <c r="L46" s="61"/>
      <c r="M46" s="125" t="s">
        <v>141</v>
      </c>
      <c r="N46" s="127">
        <v>34161</v>
      </c>
      <c r="O46" s="127">
        <v>0</v>
      </c>
      <c r="P46" s="127">
        <v>0</v>
      </c>
      <c r="Q46" s="127">
        <v>27574</v>
      </c>
      <c r="R46" s="127">
        <f>SUM(N46:Q46)</f>
        <v>61735</v>
      </c>
      <c r="S46" s="127">
        <v>58587.43</v>
      </c>
    </row>
    <row r="47" spans="1:20" x14ac:dyDescent="0.3">
      <c r="A47" s="56"/>
      <c r="B47" s="56"/>
      <c r="C47" s="56"/>
      <c r="D47" s="56"/>
      <c r="E47" s="56"/>
      <c r="F47" s="56"/>
      <c r="G47" s="56"/>
      <c r="H47" s="56"/>
      <c r="I47" s="56"/>
      <c r="J47" s="58"/>
      <c r="K47" s="58"/>
      <c r="L47" s="58"/>
      <c r="M47" s="58"/>
      <c r="N47" s="58"/>
      <c r="O47" s="58"/>
      <c r="P47" s="58"/>
      <c r="Q47" s="58"/>
      <c r="R47" s="56"/>
      <c r="S47" s="56"/>
    </row>
  </sheetData>
  <sheetProtection autoFilter="0"/>
  <mergeCells count="10">
    <mergeCell ref="N41:Q41"/>
    <mergeCell ref="A1:F1"/>
    <mergeCell ref="A14:D14"/>
    <mergeCell ref="A9:L9"/>
    <mergeCell ref="N1:S1"/>
    <mergeCell ref="A3:D3"/>
    <mergeCell ref="A4:D4"/>
    <mergeCell ref="J14:M14"/>
    <mergeCell ref="A34:D34"/>
    <mergeCell ref="N2:R2"/>
  </mergeCells>
  <pageMargins left="0.5" right="0.25" top="0.75" bottom="0.75" header="0.3" footer="0.3"/>
  <pageSetup paperSize="17" scale="63" fitToHeight="0" orientation="landscape" horizontalDpi="1200" verticalDpi="1200" r:id="rId1"/>
  <headerFooter>
    <oddFooter>&amp;L&amp;8&amp;Z&amp;F&amp;R&amp;P of &amp;N</oddFooter>
  </headerFooter>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Z49"/>
  <sheetViews>
    <sheetView zoomScaleNormal="100" workbookViewId="0">
      <selection activeCell="A16" sqref="A16"/>
    </sheetView>
  </sheetViews>
  <sheetFormatPr defaultColWidth="19.6640625" defaultRowHeight="14.4" x14ac:dyDescent="0.3"/>
  <cols>
    <col min="1" max="1" width="18.5546875" style="25" customWidth="1"/>
    <col min="2" max="2" width="19" style="25" customWidth="1"/>
    <col min="3" max="3" width="17.6640625" style="25" customWidth="1"/>
    <col min="4" max="4" width="18.44140625" style="25" customWidth="1"/>
    <col min="5" max="5" width="11.77734375" style="25" customWidth="1"/>
    <col min="6" max="6" width="10" style="25" customWidth="1"/>
    <col min="7" max="7" width="13.44140625" style="25" customWidth="1"/>
    <col min="8" max="8" width="11.77734375" style="26" customWidth="1"/>
    <col min="9" max="9" width="9.77734375" style="25" customWidth="1"/>
    <col min="10" max="10" width="10.77734375" style="25" customWidth="1"/>
    <col min="11" max="11" width="12.6640625" style="25" customWidth="1"/>
    <col min="12" max="12" width="16.5546875" style="25" customWidth="1"/>
    <col min="13" max="13" width="11.77734375" style="25" customWidth="1"/>
    <col min="14" max="14" width="15.6640625" style="25" customWidth="1"/>
    <col min="15" max="16" width="9.77734375" style="25" customWidth="1"/>
    <col min="17" max="17" width="19.5546875" style="25" customWidth="1"/>
    <col min="18" max="18" width="40.21875" style="25" customWidth="1"/>
    <col min="19" max="20" width="9.5546875" style="25" customWidth="1"/>
    <col min="21" max="21" width="11.88671875" style="25" customWidth="1"/>
    <col min="22" max="22" width="64.33203125" style="25" customWidth="1"/>
    <col min="23" max="23" width="14" style="25" customWidth="1"/>
    <col min="24" max="24" width="16.88671875" style="25" customWidth="1"/>
    <col min="25" max="25" width="12.109375" style="25" customWidth="1"/>
    <col min="26" max="26" width="16" style="25" customWidth="1"/>
    <col min="27" max="16384" width="19.6640625" style="9"/>
  </cols>
  <sheetData>
    <row r="1" spans="1:26" ht="18.600000000000001" x14ac:dyDescent="0.35">
      <c r="A1" s="201" t="str">
        <f>+'Federal Funds Transactions'!A1:F1</f>
        <v>Sun Corridor Metropolitan Planning Organization</v>
      </c>
      <c r="B1" s="201"/>
      <c r="C1" s="201"/>
      <c r="D1" s="201"/>
      <c r="E1" s="201"/>
      <c r="F1" s="201"/>
    </row>
    <row r="2" spans="1:26" x14ac:dyDescent="0.35">
      <c r="A2" s="27"/>
      <c r="B2" s="27"/>
      <c r="C2" s="27"/>
      <c r="D2" s="27"/>
      <c r="E2" s="27"/>
      <c r="F2" s="27"/>
    </row>
    <row r="3" spans="1:26" x14ac:dyDescent="0.35">
      <c r="A3" s="202" t="s">
        <v>93</v>
      </c>
      <c r="B3" s="202"/>
      <c r="C3" s="202"/>
      <c r="D3" s="202"/>
      <c r="E3" s="202"/>
      <c r="F3" s="202"/>
    </row>
    <row r="4" spans="1:26" x14ac:dyDescent="0.35">
      <c r="A4" s="28"/>
      <c r="B4" s="28"/>
      <c r="C4" s="28"/>
      <c r="D4" s="28"/>
      <c r="E4" s="28"/>
      <c r="F4" s="28"/>
    </row>
    <row r="5" spans="1:26" x14ac:dyDescent="0.35">
      <c r="A5" s="25" t="s">
        <v>92</v>
      </c>
      <c r="B5" s="68">
        <f>+'Federal Funds Transactions'!C5</f>
        <v>42643</v>
      </c>
      <c r="C5" s="27"/>
      <c r="D5" s="27"/>
      <c r="E5" s="27"/>
      <c r="F5" s="27"/>
    </row>
    <row r="6" spans="1:26" x14ac:dyDescent="0.35">
      <c r="A6" s="27"/>
      <c r="B6" s="27"/>
      <c r="C6" s="27"/>
      <c r="D6" s="27"/>
      <c r="E6" s="27"/>
      <c r="F6" s="27"/>
    </row>
    <row r="7" spans="1:26" ht="15" customHeight="1" x14ac:dyDescent="0.35">
      <c r="A7" s="205" t="str">
        <f>+'Federal Funds Transactions'!A9:L9</f>
        <v>IMPORTANT! Please review the information in the Notes tab for further explanation of the data in this document.</v>
      </c>
      <c r="B7" s="205"/>
      <c r="C7" s="205"/>
      <c r="D7" s="205"/>
      <c r="E7" s="205"/>
      <c r="F7" s="205"/>
      <c r="G7" s="205"/>
      <c r="H7" s="205"/>
    </row>
    <row r="9" spans="1:26" ht="15.75" customHeight="1" x14ac:dyDescent="0.35">
      <c r="A9" s="203" t="s">
        <v>89</v>
      </c>
      <c r="B9" s="203"/>
      <c r="C9" s="203"/>
      <c r="D9" s="203"/>
      <c r="E9" s="203"/>
      <c r="F9" s="203"/>
      <c r="G9" s="203"/>
      <c r="M9" s="29"/>
      <c r="N9" s="29"/>
      <c r="O9" s="29"/>
      <c r="P9" s="29"/>
      <c r="Q9" s="29"/>
      <c r="R9" s="29"/>
      <c r="S9" s="29"/>
      <c r="T9" s="29"/>
      <c r="U9" s="29"/>
      <c r="V9" s="29"/>
      <c r="W9" s="29"/>
      <c r="X9" s="29"/>
    </row>
    <row r="10" spans="1:26" ht="15.6" x14ac:dyDescent="0.35">
      <c r="A10" s="30"/>
      <c r="B10" s="30"/>
      <c r="C10" s="30"/>
      <c r="D10" s="30"/>
      <c r="E10" s="31"/>
      <c r="F10" s="31"/>
      <c r="G10" s="31"/>
      <c r="H10" s="32"/>
      <c r="I10" s="31"/>
      <c r="J10" s="31"/>
      <c r="K10" s="31"/>
      <c r="L10" s="31"/>
      <c r="M10" s="29"/>
      <c r="N10" s="29"/>
      <c r="O10" s="29"/>
      <c r="P10" s="29"/>
      <c r="Q10" s="29"/>
      <c r="R10" s="29"/>
      <c r="S10" s="29"/>
      <c r="T10" s="29"/>
      <c r="U10" s="29"/>
      <c r="V10" s="29"/>
      <c r="W10" s="29"/>
      <c r="X10" s="29"/>
      <c r="Y10" s="31"/>
      <c r="Z10" s="31"/>
    </row>
    <row r="11" spans="1:26" x14ac:dyDescent="0.3">
      <c r="A11" s="76" t="s">
        <v>49</v>
      </c>
      <c r="B11" s="77" t="s">
        <v>50</v>
      </c>
      <c r="C11" s="77" t="s">
        <v>13</v>
      </c>
      <c r="D11" s="77" t="s">
        <v>51</v>
      </c>
      <c r="E11" s="77" t="s">
        <v>10</v>
      </c>
      <c r="F11" s="77" t="s">
        <v>43</v>
      </c>
      <c r="G11" s="77" t="s">
        <v>44</v>
      </c>
      <c r="H11" s="77" t="s">
        <v>4</v>
      </c>
      <c r="I11" s="77" t="s">
        <v>45</v>
      </c>
      <c r="J11" s="77" t="s">
        <v>5</v>
      </c>
      <c r="K11" s="77" t="s">
        <v>6</v>
      </c>
      <c r="L11" s="77" t="s">
        <v>46</v>
      </c>
      <c r="M11" s="77" t="s">
        <v>47</v>
      </c>
      <c r="N11" s="77" t="s">
        <v>48</v>
      </c>
      <c r="O11" s="77" t="s">
        <v>101</v>
      </c>
      <c r="P11" s="77" t="s">
        <v>102</v>
      </c>
      <c r="Q11" s="77" t="s">
        <v>103</v>
      </c>
      <c r="R11" s="78" t="s">
        <v>104</v>
      </c>
      <c r="S11" s="31"/>
      <c r="T11" s="31"/>
      <c r="U11" s="31"/>
      <c r="V11" s="31"/>
      <c r="W11" s="9"/>
      <c r="X11" s="9"/>
      <c r="Y11" s="9"/>
      <c r="Z11" s="9"/>
    </row>
    <row r="12" spans="1:26" x14ac:dyDescent="0.3">
      <c r="A12" s="65" t="s">
        <v>110</v>
      </c>
      <c r="B12" s="63" t="s">
        <v>125</v>
      </c>
      <c r="C12" s="63" t="s">
        <v>126</v>
      </c>
      <c r="D12" s="63" t="s">
        <v>113</v>
      </c>
      <c r="E12" s="63">
        <v>-86599.75</v>
      </c>
      <c r="F12" s="63"/>
      <c r="G12" s="63"/>
      <c r="H12" s="63">
        <v>-25561</v>
      </c>
      <c r="I12" s="63">
        <v>-5973</v>
      </c>
      <c r="J12" s="63">
        <v>-15245.75</v>
      </c>
      <c r="K12" s="63">
        <v>-39820</v>
      </c>
      <c r="L12" s="63"/>
      <c r="M12" s="63"/>
      <c r="N12" s="63"/>
      <c r="O12" s="64" t="s">
        <v>109</v>
      </c>
      <c r="P12" s="64" t="s">
        <v>122</v>
      </c>
      <c r="Q12" s="64"/>
      <c r="R12" s="67" t="s">
        <v>127</v>
      </c>
      <c r="S12" s="75"/>
      <c r="T12" s="75"/>
      <c r="U12" s="75"/>
      <c r="V12" s="75"/>
      <c r="W12" s="9"/>
      <c r="X12" s="9"/>
      <c r="Y12" s="9"/>
      <c r="Z12" s="9"/>
    </row>
    <row r="13" spans="1:26" x14ac:dyDescent="0.3">
      <c r="A13" s="66" t="s">
        <v>110</v>
      </c>
      <c r="B13" s="64" t="s">
        <v>108</v>
      </c>
      <c r="C13" s="64" t="s">
        <v>116</v>
      </c>
      <c r="D13" s="64" t="s">
        <v>118</v>
      </c>
      <c r="E13" s="64">
        <v>127122</v>
      </c>
      <c r="F13" s="64"/>
      <c r="G13" s="64"/>
      <c r="H13" s="64">
        <v>127122</v>
      </c>
      <c r="I13" s="64"/>
      <c r="J13" s="64"/>
      <c r="K13" s="64"/>
      <c r="L13" s="64"/>
      <c r="M13" s="64"/>
      <c r="N13" s="64"/>
      <c r="O13" s="64" t="s">
        <v>117</v>
      </c>
      <c r="P13" s="64" t="s">
        <v>109</v>
      </c>
      <c r="Q13" s="64" t="s">
        <v>119</v>
      </c>
      <c r="R13" s="67" t="s">
        <v>120</v>
      </c>
      <c r="S13" s="75"/>
      <c r="T13" s="75"/>
      <c r="U13" s="75"/>
      <c r="V13" s="75"/>
      <c r="W13" s="9"/>
      <c r="X13" s="9"/>
      <c r="Y13" s="9"/>
      <c r="Z13" s="9"/>
    </row>
    <row r="14" spans="1:26" x14ac:dyDescent="0.3">
      <c r="A14" s="66" t="s">
        <v>110</v>
      </c>
      <c r="B14" s="64" t="s">
        <v>96</v>
      </c>
      <c r="C14" s="64" t="s">
        <v>111</v>
      </c>
      <c r="D14" s="64" t="s">
        <v>113</v>
      </c>
      <c r="E14" s="64">
        <v>158061</v>
      </c>
      <c r="F14" s="64"/>
      <c r="G14" s="64"/>
      <c r="H14" s="64"/>
      <c r="I14" s="64"/>
      <c r="J14" s="64"/>
      <c r="K14" s="64">
        <v>158061</v>
      </c>
      <c r="L14" s="64"/>
      <c r="M14" s="64"/>
      <c r="N14" s="64"/>
      <c r="O14" s="64" t="s">
        <v>112</v>
      </c>
      <c r="P14" s="64" t="s">
        <v>109</v>
      </c>
      <c r="Q14" s="64" t="s">
        <v>114</v>
      </c>
      <c r="R14" s="67" t="s">
        <v>115</v>
      </c>
      <c r="S14" s="75"/>
      <c r="T14" s="75"/>
      <c r="U14" s="75"/>
      <c r="V14" s="75"/>
      <c r="W14" s="9"/>
      <c r="X14" s="9"/>
      <c r="Y14" s="9"/>
      <c r="Z14" s="9"/>
    </row>
    <row r="15" spans="1:26" x14ac:dyDescent="0.3">
      <c r="A15" s="128" t="s">
        <v>128</v>
      </c>
      <c r="B15" s="129" t="s">
        <v>108</v>
      </c>
      <c r="C15" s="129" t="s">
        <v>129</v>
      </c>
      <c r="D15" s="129" t="s">
        <v>118</v>
      </c>
      <c r="E15" s="129">
        <v>280053</v>
      </c>
      <c r="F15" s="129"/>
      <c r="G15" s="129"/>
      <c r="H15" s="129"/>
      <c r="I15" s="129"/>
      <c r="J15" s="129"/>
      <c r="K15" s="129">
        <v>280053</v>
      </c>
      <c r="L15" s="129"/>
      <c r="M15" s="129"/>
      <c r="N15" s="129"/>
      <c r="O15" s="129" t="s">
        <v>130</v>
      </c>
      <c r="P15" s="129" t="s">
        <v>109</v>
      </c>
      <c r="Q15" s="129"/>
      <c r="R15" s="130" t="s">
        <v>131</v>
      </c>
      <c r="S15" s="75"/>
      <c r="T15" s="75"/>
      <c r="U15" s="75"/>
      <c r="V15" s="75"/>
      <c r="W15" s="9"/>
      <c r="X15" s="9"/>
      <c r="Y15" s="9"/>
      <c r="Z15" s="9"/>
    </row>
    <row r="16" spans="1:26" x14ac:dyDescent="0.3">
      <c r="A16" s="136" t="s">
        <v>128</v>
      </c>
      <c r="B16" s="137" t="s">
        <v>132</v>
      </c>
      <c r="C16" s="137" t="s">
        <v>133</v>
      </c>
      <c r="D16" s="137" t="s">
        <v>134</v>
      </c>
      <c r="E16" s="137">
        <v>-113148</v>
      </c>
      <c r="F16" s="137"/>
      <c r="G16" s="137"/>
      <c r="H16" s="137">
        <v>-113148</v>
      </c>
      <c r="I16" s="137"/>
      <c r="J16" s="137"/>
      <c r="K16" s="137"/>
      <c r="L16" s="137"/>
      <c r="M16" s="137"/>
      <c r="N16" s="137"/>
      <c r="O16" s="137" t="s">
        <v>109</v>
      </c>
      <c r="P16" s="137" t="s">
        <v>112</v>
      </c>
      <c r="Q16" s="137"/>
      <c r="R16" s="138" t="s">
        <v>135</v>
      </c>
      <c r="S16" s="75"/>
      <c r="T16" s="75"/>
      <c r="U16" s="75"/>
      <c r="V16" s="75"/>
      <c r="W16" s="9"/>
      <c r="X16" s="9"/>
      <c r="Y16" s="9"/>
      <c r="Z16" s="9"/>
    </row>
    <row r="17" spans="1:26" x14ac:dyDescent="0.3">
      <c r="A17" s="139" t="s">
        <v>118</v>
      </c>
      <c r="B17" s="140" t="s">
        <v>132</v>
      </c>
      <c r="C17" s="140" t="s">
        <v>195</v>
      </c>
      <c r="D17" s="140" t="s">
        <v>134</v>
      </c>
      <c r="E17" s="140">
        <v>-70069</v>
      </c>
      <c r="F17" s="140"/>
      <c r="G17" s="140"/>
      <c r="H17" s="140">
        <v>-70069</v>
      </c>
      <c r="I17" s="140"/>
      <c r="J17" s="140"/>
      <c r="K17" s="140"/>
      <c r="L17" s="140"/>
      <c r="M17" s="140"/>
      <c r="N17" s="140"/>
      <c r="O17" s="140" t="s">
        <v>109</v>
      </c>
      <c r="P17" s="140" t="s">
        <v>122</v>
      </c>
      <c r="Q17" s="140" t="s">
        <v>196</v>
      </c>
      <c r="R17" s="141" t="s">
        <v>197</v>
      </c>
      <c r="S17" s="75"/>
      <c r="T17" s="75"/>
      <c r="U17" s="75"/>
      <c r="V17" s="75"/>
      <c r="W17" s="9"/>
      <c r="X17" s="9"/>
      <c r="Y17" s="9"/>
      <c r="Z17" s="9"/>
    </row>
    <row r="18" spans="1:26" x14ac:dyDescent="0.3">
      <c r="A18" s="139" t="s">
        <v>118</v>
      </c>
      <c r="B18" s="140" t="s">
        <v>132</v>
      </c>
      <c r="C18" s="140" t="s">
        <v>192</v>
      </c>
      <c r="D18" s="140" t="s">
        <v>134</v>
      </c>
      <c r="E18" s="140">
        <v>-633480</v>
      </c>
      <c r="F18" s="140"/>
      <c r="G18" s="140"/>
      <c r="H18" s="140"/>
      <c r="I18" s="140"/>
      <c r="J18" s="140"/>
      <c r="K18" s="140">
        <v>-633480</v>
      </c>
      <c r="L18" s="140"/>
      <c r="M18" s="140"/>
      <c r="N18" s="140"/>
      <c r="O18" s="140" t="s">
        <v>109</v>
      </c>
      <c r="P18" s="140" t="s">
        <v>193</v>
      </c>
      <c r="Q18" s="140"/>
      <c r="R18" s="141" t="s">
        <v>194</v>
      </c>
      <c r="S18" s="75"/>
      <c r="T18" s="75"/>
      <c r="U18" s="75"/>
      <c r="V18" s="75"/>
      <c r="W18" s="9"/>
      <c r="X18" s="9"/>
      <c r="Y18" s="9"/>
      <c r="Z18" s="9"/>
    </row>
    <row r="19" spans="1:26" x14ac:dyDescent="0.3">
      <c r="A19" s="142" t="s">
        <v>118</v>
      </c>
      <c r="B19" s="143" t="s">
        <v>95</v>
      </c>
      <c r="C19" s="143" t="s">
        <v>129</v>
      </c>
      <c r="D19" s="143" t="s">
        <v>118</v>
      </c>
      <c r="E19" s="143">
        <v>-280053</v>
      </c>
      <c r="F19" s="143"/>
      <c r="G19" s="143"/>
      <c r="H19" s="143"/>
      <c r="I19" s="143"/>
      <c r="J19" s="143"/>
      <c r="K19" s="143">
        <v>-280053</v>
      </c>
      <c r="L19" s="143"/>
      <c r="M19" s="143"/>
      <c r="N19" s="143"/>
      <c r="O19" s="143" t="s">
        <v>109</v>
      </c>
      <c r="P19" s="143" t="s">
        <v>130</v>
      </c>
      <c r="Q19" s="143"/>
      <c r="R19" s="144" t="s">
        <v>131</v>
      </c>
      <c r="S19" s="75"/>
      <c r="T19" s="75"/>
      <c r="U19" s="75"/>
      <c r="V19" s="75"/>
      <c r="W19" s="9"/>
      <c r="X19" s="9"/>
      <c r="Y19" s="9"/>
      <c r="Z19" s="9"/>
    </row>
    <row r="20" spans="1:26" x14ac:dyDescent="0.3">
      <c r="A20" s="159" t="s">
        <v>118</v>
      </c>
      <c r="B20" s="161" t="s">
        <v>95</v>
      </c>
      <c r="C20" s="161" t="s">
        <v>116</v>
      </c>
      <c r="D20" s="161"/>
      <c r="E20" s="161">
        <v>-127122</v>
      </c>
      <c r="F20" s="161"/>
      <c r="G20" s="161"/>
      <c r="H20" s="161">
        <v>-127122</v>
      </c>
      <c r="I20" s="161"/>
      <c r="J20" s="161"/>
      <c r="K20" s="161"/>
      <c r="L20" s="161"/>
      <c r="M20" s="161"/>
      <c r="N20" s="161"/>
      <c r="O20" s="161" t="s">
        <v>109</v>
      </c>
      <c r="P20" s="161" t="s">
        <v>117</v>
      </c>
      <c r="Q20" s="161" t="s">
        <v>119</v>
      </c>
      <c r="R20" s="163" t="s">
        <v>121</v>
      </c>
      <c r="S20" s="75"/>
      <c r="T20" s="75"/>
      <c r="U20" s="75"/>
      <c r="V20" s="75"/>
      <c r="W20" s="9"/>
      <c r="X20" s="9"/>
      <c r="Y20" s="9"/>
      <c r="Z20" s="9"/>
    </row>
    <row r="21" spans="1:26" x14ac:dyDescent="0.3">
      <c r="A21" s="160" t="s">
        <v>134</v>
      </c>
      <c r="B21" s="162" t="s">
        <v>136</v>
      </c>
      <c r="C21" s="162" t="s">
        <v>133</v>
      </c>
      <c r="D21" s="162" t="s">
        <v>134</v>
      </c>
      <c r="E21" s="162">
        <v>113148</v>
      </c>
      <c r="F21" s="162"/>
      <c r="G21" s="162"/>
      <c r="H21" s="162">
        <v>113148</v>
      </c>
      <c r="I21" s="162"/>
      <c r="J21" s="162"/>
      <c r="K21" s="162"/>
      <c r="L21" s="162"/>
      <c r="M21" s="162"/>
      <c r="N21" s="162"/>
      <c r="O21" s="162" t="s">
        <v>112</v>
      </c>
      <c r="P21" s="162" t="s">
        <v>109</v>
      </c>
      <c r="Q21" s="162"/>
      <c r="R21" s="164" t="s">
        <v>135</v>
      </c>
      <c r="S21" s="75"/>
      <c r="T21" s="75"/>
      <c r="U21" s="75"/>
      <c r="V21" s="75"/>
      <c r="W21" s="9"/>
      <c r="X21" s="9"/>
      <c r="Y21" s="9"/>
      <c r="Z21" s="9"/>
    </row>
    <row r="22" spans="1:26" x14ac:dyDescent="0.3">
      <c r="A22" s="177" t="s">
        <v>134</v>
      </c>
      <c r="B22" s="179" t="s">
        <v>136</v>
      </c>
      <c r="C22" s="179" t="s">
        <v>195</v>
      </c>
      <c r="D22" s="179" t="s">
        <v>134</v>
      </c>
      <c r="E22" s="179">
        <v>70069</v>
      </c>
      <c r="F22" s="179"/>
      <c r="G22" s="179"/>
      <c r="H22" s="179">
        <v>70069</v>
      </c>
      <c r="I22" s="179"/>
      <c r="J22" s="179"/>
      <c r="K22" s="179"/>
      <c r="L22" s="179"/>
      <c r="M22" s="179"/>
      <c r="N22" s="179"/>
      <c r="O22" s="179" t="s">
        <v>122</v>
      </c>
      <c r="P22" s="179" t="s">
        <v>109</v>
      </c>
      <c r="Q22" s="179" t="s">
        <v>196</v>
      </c>
      <c r="R22" s="181" t="s">
        <v>197</v>
      </c>
      <c r="S22" s="75"/>
      <c r="T22" s="75"/>
      <c r="U22" s="75"/>
      <c r="V22" s="75"/>
      <c r="W22" s="9"/>
      <c r="X22" s="9"/>
      <c r="Y22" s="9"/>
      <c r="Z22" s="9"/>
    </row>
    <row r="23" spans="1:26" x14ac:dyDescent="0.3">
      <c r="A23" s="178" t="s">
        <v>134</v>
      </c>
      <c r="B23" s="180" t="s">
        <v>136</v>
      </c>
      <c r="C23" s="180" t="s">
        <v>192</v>
      </c>
      <c r="D23" s="180" t="s">
        <v>134</v>
      </c>
      <c r="E23" s="180">
        <v>633480</v>
      </c>
      <c r="F23" s="180"/>
      <c r="G23" s="180"/>
      <c r="H23" s="180"/>
      <c r="I23" s="180"/>
      <c r="J23" s="180"/>
      <c r="K23" s="180">
        <v>633480</v>
      </c>
      <c r="L23" s="180"/>
      <c r="M23" s="180"/>
      <c r="N23" s="180"/>
      <c r="O23" s="180" t="s">
        <v>193</v>
      </c>
      <c r="P23" s="180" t="s">
        <v>109</v>
      </c>
      <c r="Q23" s="180"/>
      <c r="R23" s="182" t="s">
        <v>194</v>
      </c>
      <c r="S23" s="75"/>
      <c r="T23" s="75"/>
      <c r="U23" s="75"/>
      <c r="V23" s="75"/>
      <c r="W23" s="9"/>
      <c r="X23" s="9"/>
      <c r="Y23" s="9"/>
      <c r="Z23" s="9"/>
    </row>
    <row r="24" spans="1:26" ht="15.6" x14ac:dyDescent="0.3">
      <c r="A24" s="204" t="s">
        <v>90</v>
      </c>
      <c r="B24" s="204"/>
      <c r="C24" s="204"/>
      <c r="D24" s="204"/>
      <c r="E24" s="204"/>
      <c r="F24" s="204"/>
      <c r="G24" s="204"/>
      <c r="S24" s="75"/>
      <c r="T24" s="75"/>
      <c r="U24" s="75"/>
      <c r="V24" s="75"/>
    </row>
    <row r="26" spans="1:26" x14ac:dyDescent="0.3">
      <c r="A26" s="75" t="s">
        <v>49</v>
      </c>
      <c r="B26" s="75" t="s">
        <v>50</v>
      </c>
      <c r="C26" s="75" t="s">
        <v>13</v>
      </c>
      <c r="D26" s="75" t="s">
        <v>51</v>
      </c>
      <c r="E26" s="75" t="s">
        <v>10</v>
      </c>
      <c r="F26" s="75" t="s">
        <v>43</v>
      </c>
      <c r="G26" s="75" t="s">
        <v>44</v>
      </c>
      <c r="H26" s="75" t="s">
        <v>4</v>
      </c>
      <c r="I26" s="75" t="s">
        <v>45</v>
      </c>
      <c r="J26" s="75" t="s">
        <v>5</v>
      </c>
      <c r="K26" s="75" t="s">
        <v>6</v>
      </c>
      <c r="L26" s="75" t="s">
        <v>46</v>
      </c>
      <c r="M26" s="75" t="s">
        <v>47</v>
      </c>
      <c r="N26" s="75" t="s">
        <v>48</v>
      </c>
      <c r="O26" s="75" t="s">
        <v>101</v>
      </c>
      <c r="P26" s="75" t="s">
        <v>102</v>
      </c>
      <c r="Q26" s="75" t="s">
        <v>103</v>
      </c>
      <c r="R26" s="75" t="s">
        <v>104</v>
      </c>
    </row>
    <row r="27" spans="1:26" x14ac:dyDescent="0.3">
      <c r="A27" s="31" t="s">
        <v>110</v>
      </c>
      <c r="B27" s="31" t="s">
        <v>108</v>
      </c>
      <c r="C27" s="31" t="s">
        <v>116</v>
      </c>
      <c r="D27" s="31" t="s">
        <v>118</v>
      </c>
      <c r="E27" s="31">
        <v>120639</v>
      </c>
      <c r="F27" s="31"/>
      <c r="G27" s="31"/>
      <c r="H27" s="31">
        <v>120639</v>
      </c>
      <c r="I27" s="31"/>
      <c r="J27" s="31"/>
      <c r="K27" s="31"/>
      <c r="L27" s="31"/>
      <c r="M27" s="31"/>
      <c r="N27" s="31"/>
      <c r="O27" s="75" t="s">
        <v>117</v>
      </c>
      <c r="P27" s="75" t="s">
        <v>109</v>
      </c>
      <c r="Q27" s="75" t="s">
        <v>119</v>
      </c>
      <c r="R27" s="75" t="s">
        <v>120</v>
      </c>
    </row>
    <row r="28" spans="1:26" x14ac:dyDescent="0.3">
      <c r="A28" s="75" t="s">
        <v>110</v>
      </c>
      <c r="B28" s="75" t="s">
        <v>96</v>
      </c>
      <c r="C28" s="75" t="s">
        <v>111</v>
      </c>
      <c r="D28" s="75" t="s">
        <v>113</v>
      </c>
      <c r="E28" s="75">
        <v>150000</v>
      </c>
      <c r="F28" s="75"/>
      <c r="G28" s="75"/>
      <c r="H28" s="75"/>
      <c r="I28" s="75"/>
      <c r="J28" s="75"/>
      <c r="K28" s="75">
        <v>150000</v>
      </c>
      <c r="L28" s="75"/>
      <c r="M28" s="75"/>
      <c r="N28" s="75"/>
      <c r="O28" s="75" t="s">
        <v>112</v>
      </c>
      <c r="P28" s="75" t="s">
        <v>109</v>
      </c>
      <c r="Q28" s="75" t="s">
        <v>114</v>
      </c>
      <c r="R28" s="75" t="s">
        <v>115</v>
      </c>
    </row>
    <row r="29" spans="1:26" x14ac:dyDescent="0.3">
      <c r="A29" s="75" t="s">
        <v>128</v>
      </c>
      <c r="B29" s="75" t="s">
        <v>108</v>
      </c>
      <c r="C29" s="75" t="s">
        <v>129</v>
      </c>
      <c r="D29" s="75" t="s">
        <v>118</v>
      </c>
      <c r="E29" s="75">
        <v>280053</v>
      </c>
      <c r="F29" s="75"/>
      <c r="G29" s="75"/>
      <c r="H29" s="75"/>
      <c r="I29" s="75"/>
      <c r="J29" s="75"/>
      <c r="K29" s="75">
        <v>280053</v>
      </c>
      <c r="L29" s="75"/>
      <c r="M29" s="75"/>
      <c r="N29" s="75"/>
      <c r="O29" s="75" t="s">
        <v>130</v>
      </c>
      <c r="P29" s="75" t="s">
        <v>109</v>
      </c>
      <c r="Q29" s="75"/>
      <c r="R29" s="75" t="s">
        <v>131</v>
      </c>
    </row>
    <row r="30" spans="1:26" x14ac:dyDescent="0.3">
      <c r="A30" s="135" t="s">
        <v>128</v>
      </c>
      <c r="B30" s="135" t="s">
        <v>132</v>
      </c>
      <c r="C30" s="135" t="s">
        <v>133</v>
      </c>
      <c r="D30" s="135" t="s">
        <v>134</v>
      </c>
      <c r="E30" s="135">
        <v>-113148</v>
      </c>
      <c r="F30" s="135"/>
      <c r="G30" s="135"/>
      <c r="H30" s="135">
        <v>-113148</v>
      </c>
      <c r="I30" s="135"/>
      <c r="J30" s="135"/>
      <c r="K30" s="135"/>
      <c r="L30" s="135"/>
      <c r="M30" s="135"/>
      <c r="N30" s="135"/>
      <c r="O30" s="135" t="s">
        <v>109</v>
      </c>
      <c r="P30" s="135" t="s">
        <v>112</v>
      </c>
      <c r="Q30" s="135"/>
      <c r="R30" s="135" t="s">
        <v>135</v>
      </c>
      <c r="S30" s="9"/>
      <c r="T30" s="9"/>
      <c r="U30" s="9"/>
      <c r="V30" s="9"/>
      <c r="W30" s="9"/>
      <c r="X30" s="9"/>
      <c r="Y30" s="9"/>
      <c r="Z30" s="9"/>
    </row>
    <row r="31" spans="1:26" x14ac:dyDescent="0.3">
      <c r="A31" s="135" t="s">
        <v>118</v>
      </c>
      <c r="B31" s="135" t="s">
        <v>132</v>
      </c>
      <c r="C31" s="135" t="s">
        <v>195</v>
      </c>
      <c r="D31" s="135" t="s">
        <v>134</v>
      </c>
      <c r="E31" s="135">
        <v>-70069</v>
      </c>
      <c r="F31" s="135"/>
      <c r="G31" s="135"/>
      <c r="H31" s="135">
        <v>-70069</v>
      </c>
      <c r="I31" s="135"/>
      <c r="J31" s="135"/>
      <c r="K31" s="135"/>
      <c r="L31" s="135"/>
      <c r="M31" s="135"/>
      <c r="N31" s="135"/>
      <c r="O31" s="135" t="s">
        <v>109</v>
      </c>
      <c r="P31" s="135" t="s">
        <v>122</v>
      </c>
      <c r="Q31" s="135" t="s">
        <v>196</v>
      </c>
      <c r="R31" s="135" t="s">
        <v>197</v>
      </c>
      <c r="S31" s="9"/>
      <c r="T31" s="9"/>
      <c r="U31" s="9"/>
      <c r="V31" s="9"/>
      <c r="W31" s="9"/>
      <c r="X31" s="9"/>
      <c r="Y31" s="9"/>
      <c r="Z31" s="9"/>
    </row>
    <row r="32" spans="1:26" x14ac:dyDescent="0.3">
      <c r="A32" s="135" t="s">
        <v>118</v>
      </c>
      <c r="B32" s="135" t="s">
        <v>132</v>
      </c>
      <c r="C32" s="135" t="s">
        <v>192</v>
      </c>
      <c r="D32" s="135" t="s">
        <v>134</v>
      </c>
      <c r="E32" s="135">
        <v>-633480</v>
      </c>
      <c r="F32" s="135"/>
      <c r="G32" s="135"/>
      <c r="H32" s="135"/>
      <c r="I32" s="135"/>
      <c r="J32" s="135"/>
      <c r="K32" s="135">
        <v>-633480</v>
      </c>
      <c r="L32" s="135"/>
      <c r="M32" s="135"/>
      <c r="N32" s="135"/>
      <c r="O32" s="135" t="s">
        <v>109</v>
      </c>
      <c r="P32" s="135" t="s">
        <v>193</v>
      </c>
      <c r="Q32" s="135"/>
      <c r="R32" s="135" t="s">
        <v>194</v>
      </c>
      <c r="S32" s="9"/>
      <c r="T32" s="9"/>
      <c r="U32" s="9"/>
      <c r="V32" s="9"/>
      <c r="W32" s="9"/>
      <c r="X32" s="9"/>
      <c r="Y32" s="9"/>
      <c r="Z32" s="9"/>
    </row>
    <row r="33" spans="1:26" x14ac:dyDescent="0.3">
      <c r="A33" s="135" t="s">
        <v>118</v>
      </c>
      <c r="B33" s="135" t="s">
        <v>95</v>
      </c>
      <c r="C33" s="135" t="s">
        <v>129</v>
      </c>
      <c r="D33" s="135" t="s">
        <v>118</v>
      </c>
      <c r="E33" s="135">
        <v>-280053</v>
      </c>
      <c r="F33" s="135"/>
      <c r="G33" s="135"/>
      <c r="H33" s="135"/>
      <c r="I33" s="135"/>
      <c r="J33" s="135"/>
      <c r="K33" s="135">
        <v>-280053</v>
      </c>
      <c r="L33" s="135"/>
      <c r="M33" s="135"/>
      <c r="N33" s="135"/>
      <c r="O33" s="135" t="s">
        <v>109</v>
      </c>
      <c r="P33" s="135" t="s">
        <v>130</v>
      </c>
      <c r="Q33" s="135"/>
      <c r="R33" s="135" t="s">
        <v>131</v>
      </c>
      <c r="S33" s="9"/>
      <c r="T33" s="9"/>
      <c r="U33" s="9"/>
      <c r="V33" s="9"/>
      <c r="W33" s="9"/>
      <c r="X33" s="9"/>
      <c r="Y33" s="9"/>
      <c r="Z33" s="9"/>
    </row>
    <row r="34" spans="1:26" x14ac:dyDescent="0.3">
      <c r="A34" s="158" t="s">
        <v>118</v>
      </c>
      <c r="B34" s="158" t="s">
        <v>95</v>
      </c>
      <c r="C34" s="158" t="s">
        <v>116</v>
      </c>
      <c r="D34" s="158"/>
      <c r="E34" s="158">
        <v>-120639</v>
      </c>
      <c r="F34" s="158"/>
      <c r="G34" s="158"/>
      <c r="H34" s="158">
        <v>-120639</v>
      </c>
      <c r="I34" s="158"/>
      <c r="J34" s="158"/>
      <c r="K34" s="158"/>
      <c r="L34" s="158"/>
      <c r="M34" s="158"/>
      <c r="N34" s="158"/>
      <c r="O34" s="158" t="s">
        <v>109</v>
      </c>
      <c r="P34" s="158" t="s">
        <v>117</v>
      </c>
      <c r="Q34" s="158" t="s">
        <v>119</v>
      </c>
      <c r="R34" s="158" t="s">
        <v>121</v>
      </c>
      <c r="S34" s="9"/>
      <c r="T34" s="9"/>
      <c r="U34" s="9"/>
      <c r="V34" s="9"/>
      <c r="W34" s="9"/>
      <c r="X34" s="9"/>
      <c r="Y34" s="9"/>
      <c r="Z34" s="9"/>
    </row>
    <row r="35" spans="1:26" x14ac:dyDescent="0.3">
      <c r="A35" s="158" t="s">
        <v>134</v>
      </c>
      <c r="B35" s="158" t="s">
        <v>136</v>
      </c>
      <c r="C35" s="158" t="s">
        <v>133</v>
      </c>
      <c r="D35" s="158" t="s">
        <v>134</v>
      </c>
      <c r="E35" s="158">
        <v>113148</v>
      </c>
      <c r="F35" s="158"/>
      <c r="G35" s="158"/>
      <c r="H35" s="158">
        <v>113148</v>
      </c>
      <c r="I35" s="158"/>
      <c r="J35" s="158"/>
      <c r="K35" s="158"/>
      <c r="L35" s="158"/>
      <c r="M35" s="158"/>
      <c r="N35" s="158"/>
      <c r="O35" s="158" t="s">
        <v>112</v>
      </c>
      <c r="P35" s="158" t="s">
        <v>109</v>
      </c>
      <c r="Q35" s="158"/>
      <c r="R35" s="158" t="s">
        <v>135</v>
      </c>
      <c r="S35" s="9"/>
      <c r="T35" s="9"/>
      <c r="U35" s="9"/>
      <c r="V35" s="9"/>
      <c r="W35" s="9"/>
      <c r="X35" s="9"/>
      <c r="Y35" s="9"/>
      <c r="Z35" s="9"/>
    </row>
    <row r="36" spans="1:26" x14ac:dyDescent="0.3">
      <c r="A36" s="176" t="s">
        <v>134</v>
      </c>
      <c r="B36" s="176" t="s">
        <v>136</v>
      </c>
      <c r="C36" s="176" t="s">
        <v>195</v>
      </c>
      <c r="D36" s="176" t="s">
        <v>134</v>
      </c>
      <c r="E36" s="176">
        <v>70069</v>
      </c>
      <c r="F36" s="176"/>
      <c r="G36" s="176"/>
      <c r="H36" s="176">
        <v>70069</v>
      </c>
      <c r="I36" s="176"/>
      <c r="J36" s="176"/>
      <c r="K36" s="176"/>
      <c r="L36" s="176"/>
      <c r="M36" s="176"/>
      <c r="N36" s="176"/>
      <c r="O36" s="176" t="s">
        <v>122</v>
      </c>
      <c r="P36" s="176" t="s">
        <v>109</v>
      </c>
      <c r="Q36" s="176" t="s">
        <v>196</v>
      </c>
      <c r="R36" s="176" t="s">
        <v>197</v>
      </c>
      <c r="S36" s="9"/>
      <c r="T36" s="9"/>
      <c r="U36" s="9"/>
      <c r="V36" s="9"/>
      <c r="W36" s="9"/>
      <c r="X36" s="9"/>
      <c r="Y36" s="9"/>
      <c r="Z36" s="9"/>
    </row>
    <row r="37" spans="1:26" x14ac:dyDescent="0.3">
      <c r="A37" s="176" t="s">
        <v>134</v>
      </c>
      <c r="B37" s="176" t="s">
        <v>136</v>
      </c>
      <c r="C37" s="176" t="s">
        <v>192</v>
      </c>
      <c r="D37" s="176" t="s">
        <v>134</v>
      </c>
      <c r="E37" s="176">
        <v>633480</v>
      </c>
      <c r="F37" s="176"/>
      <c r="G37" s="176"/>
      <c r="H37" s="176"/>
      <c r="I37" s="176"/>
      <c r="J37" s="176"/>
      <c r="K37" s="176">
        <v>633480</v>
      </c>
      <c r="L37" s="176"/>
      <c r="M37" s="176"/>
      <c r="N37" s="176"/>
      <c r="O37" s="176" t="s">
        <v>193</v>
      </c>
      <c r="P37" s="176" t="s">
        <v>109</v>
      </c>
      <c r="Q37" s="176"/>
      <c r="R37" s="176" t="s">
        <v>194</v>
      </c>
      <c r="S37" s="9"/>
      <c r="T37" s="9"/>
      <c r="U37" s="9"/>
      <c r="V37" s="9"/>
      <c r="W37" s="9"/>
      <c r="X37" s="9"/>
      <c r="Y37" s="9"/>
      <c r="Z37" s="9"/>
    </row>
    <row r="38" spans="1:26" x14ac:dyDescent="0.3">
      <c r="H38" s="25"/>
      <c r="W38" s="9"/>
      <c r="X38" s="9"/>
      <c r="Y38" s="9"/>
      <c r="Z38" s="9"/>
    </row>
    <row r="39" spans="1:26" x14ac:dyDescent="0.3">
      <c r="A39" s="75"/>
      <c r="B39" s="75"/>
      <c r="C39" s="75"/>
      <c r="D39" s="75"/>
      <c r="E39" s="75"/>
      <c r="F39" s="75"/>
      <c r="G39" s="75"/>
      <c r="H39" s="75"/>
      <c r="I39" s="75"/>
      <c r="J39" s="75"/>
      <c r="K39" s="75"/>
      <c r="L39" s="75"/>
      <c r="M39" s="75"/>
      <c r="N39" s="75"/>
      <c r="O39" s="75"/>
      <c r="P39" s="75"/>
      <c r="Q39" s="75"/>
      <c r="R39" s="75"/>
      <c r="W39" s="9"/>
      <c r="X39" s="9"/>
      <c r="Y39" s="9"/>
      <c r="Z39" s="9"/>
    </row>
    <row r="40" spans="1:26" x14ac:dyDescent="0.3">
      <c r="A40" s="75"/>
      <c r="B40" s="75"/>
      <c r="C40" s="75"/>
      <c r="D40" s="75"/>
      <c r="E40" s="75"/>
      <c r="F40" s="75"/>
      <c r="G40" s="75"/>
      <c r="H40" s="75"/>
      <c r="I40" s="75"/>
      <c r="J40" s="75"/>
      <c r="K40" s="75"/>
      <c r="L40" s="75"/>
      <c r="M40" s="75"/>
      <c r="N40" s="75"/>
      <c r="O40" s="75"/>
      <c r="P40" s="75"/>
      <c r="Q40" s="75"/>
      <c r="R40" s="75"/>
      <c r="W40" s="9"/>
      <c r="X40" s="9"/>
      <c r="Y40" s="9"/>
      <c r="Z40" s="9"/>
    </row>
    <row r="41" spans="1:26" x14ac:dyDescent="0.3">
      <c r="A41" s="75"/>
      <c r="B41" s="75"/>
      <c r="C41" s="75"/>
      <c r="D41" s="75"/>
      <c r="E41" s="75"/>
      <c r="F41" s="75"/>
      <c r="G41" s="75"/>
      <c r="H41" s="75"/>
      <c r="I41" s="75"/>
      <c r="J41" s="75"/>
      <c r="K41" s="75"/>
      <c r="L41" s="75"/>
      <c r="M41" s="75"/>
      <c r="N41" s="75"/>
      <c r="O41" s="75"/>
      <c r="P41" s="75"/>
      <c r="Q41" s="75"/>
      <c r="R41" s="75"/>
      <c r="W41" s="9"/>
      <c r="X41" s="9"/>
      <c r="Y41" s="9"/>
      <c r="Z41" s="9"/>
    </row>
    <row r="42" spans="1:26" x14ac:dyDescent="0.3">
      <c r="H42" s="25"/>
      <c r="W42" s="9"/>
      <c r="X42" s="9"/>
      <c r="Y42" s="9"/>
      <c r="Z42" s="9"/>
    </row>
    <row r="43" spans="1:26" x14ac:dyDescent="0.3">
      <c r="H43" s="25"/>
      <c r="W43" s="9"/>
      <c r="X43" s="9"/>
      <c r="Y43" s="9"/>
      <c r="Z43" s="9"/>
    </row>
    <row r="44" spans="1:26" x14ac:dyDescent="0.3">
      <c r="H44" s="25"/>
      <c r="W44" s="9"/>
      <c r="X44" s="9"/>
      <c r="Y44" s="9"/>
      <c r="Z44" s="9"/>
    </row>
    <row r="45" spans="1:26" x14ac:dyDescent="0.3">
      <c r="H45" s="25"/>
      <c r="W45" s="9"/>
      <c r="X45" s="9"/>
      <c r="Y45" s="9"/>
      <c r="Z45" s="9"/>
    </row>
    <row r="46" spans="1:26" x14ac:dyDescent="0.3">
      <c r="H46" s="25"/>
      <c r="W46" s="9"/>
      <c r="X46" s="9"/>
      <c r="Y46" s="9"/>
      <c r="Z46" s="9"/>
    </row>
    <row r="47" spans="1:26" x14ac:dyDescent="0.3">
      <c r="H47" s="25"/>
      <c r="W47" s="9"/>
      <c r="X47" s="9"/>
      <c r="Y47" s="9"/>
      <c r="Z47" s="9"/>
    </row>
    <row r="48" spans="1:26" x14ac:dyDescent="0.3">
      <c r="H48" s="25"/>
      <c r="W48" s="9"/>
      <c r="X48" s="9"/>
      <c r="Y48" s="9"/>
      <c r="Z48" s="9"/>
    </row>
    <row r="49" spans="23:26" x14ac:dyDescent="0.3">
      <c r="W49" s="9"/>
      <c r="X49" s="9"/>
      <c r="Y49" s="9"/>
      <c r="Z49" s="9"/>
    </row>
  </sheetData>
  <mergeCells count="5">
    <mergeCell ref="A1:F1"/>
    <mergeCell ref="A3:F3"/>
    <mergeCell ref="A9:G9"/>
    <mergeCell ref="A24:G24"/>
    <mergeCell ref="A7:H7"/>
  </mergeCells>
  <pageMargins left="0.7" right="0.7" top="0.75" bottom="0.75" header="0.3" footer="0.3"/>
  <pageSetup paperSize="17" scale="76" orientation="landscape"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54"/>
  <sheetViews>
    <sheetView zoomScaleNormal="100" workbookViewId="0"/>
  </sheetViews>
  <sheetFormatPr defaultRowHeight="14.4" x14ac:dyDescent="0.3"/>
  <cols>
    <col min="1" max="1" width="9.109375" style="1"/>
    <col min="2" max="2" width="20.6640625" customWidth="1"/>
    <col min="3" max="3" width="37.44140625" customWidth="1"/>
    <col min="4" max="4" width="15.6640625" customWidth="1"/>
    <col min="5" max="5" width="18.33203125" customWidth="1"/>
  </cols>
  <sheetData>
    <row r="1" spans="1:5" x14ac:dyDescent="0.35">
      <c r="A1" s="4" t="s">
        <v>13</v>
      </c>
      <c r="B1" s="209" t="s">
        <v>14</v>
      </c>
      <c r="C1" s="209"/>
      <c r="D1" s="209"/>
      <c r="E1" s="209"/>
    </row>
    <row r="2" spans="1:5" ht="81.75" customHeight="1" x14ac:dyDescent="0.35">
      <c r="A2" s="1">
        <v>1</v>
      </c>
      <c r="B2" s="208" t="s">
        <v>16</v>
      </c>
      <c r="C2" s="208"/>
      <c r="D2" s="208"/>
      <c r="E2" s="208"/>
    </row>
    <row r="3" spans="1:5" x14ac:dyDescent="0.35">
      <c r="B3" s="3"/>
      <c r="C3" s="3"/>
      <c r="D3" s="3"/>
      <c r="E3" s="3"/>
    </row>
    <row r="4" spans="1:5" ht="33" customHeight="1" x14ac:dyDescent="0.35">
      <c r="A4" s="1">
        <v>2</v>
      </c>
      <c r="B4" s="208" t="s">
        <v>17</v>
      </c>
      <c r="C4" s="208"/>
      <c r="D4" s="208"/>
      <c r="E4" s="208"/>
    </row>
    <row r="5" spans="1:5" x14ac:dyDescent="0.35">
      <c r="B5" s="3"/>
      <c r="C5" s="3"/>
      <c r="D5" s="3"/>
      <c r="E5" s="3"/>
    </row>
    <row r="6" spans="1:5" s="17" customFormat="1" ht="114" customHeight="1" x14ac:dyDescent="0.3">
      <c r="A6" s="18">
        <v>3</v>
      </c>
      <c r="B6" s="213" t="s">
        <v>73</v>
      </c>
      <c r="C6" s="213"/>
      <c r="D6" s="213"/>
      <c r="E6" s="213"/>
    </row>
    <row r="7" spans="1:5" s="17" customFormat="1" x14ac:dyDescent="0.3">
      <c r="A7" s="18"/>
      <c r="B7" s="19"/>
      <c r="C7" s="19"/>
      <c r="D7" s="19"/>
      <c r="E7" s="19"/>
    </row>
    <row r="8" spans="1:5" ht="18" customHeight="1" x14ac:dyDescent="0.3">
      <c r="A8" s="1">
        <v>4</v>
      </c>
      <c r="B8" s="212" t="s">
        <v>64</v>
      </c>
      <c r="C8" s="212"/>
      <c r="D8" s="8"/>
      <c r="E8" s="8"/>
    </row>
    <row r="9" spans="1:5" ht="18" customHeight="1" x14ac:dyDescent="0.3">
      <c r="B9" s="211" t="s">
        <v>142</v>
      </c>
      <c r="C9" s="211"/>
      <c r="D9" s="13">
        <v>125000</v>
      </c>
    </row>
    <row r="10" spans="1:5" ht="18" customHeight="1" x14ac:dyDescent="0.3">
      <c r="B10" s="208" t="s">
        <v>143</v>
      </c>
      <c r="C10" s="208"/>
      <c r="D10" s="12">
        <v>-31250</v>
      </c>
    </row>
    <row r="11" spans="1:5" ht="18" customHeight="1" x14ac:dyDescent="0.3">
      <c r="B11" s="211" t="s">
        <v>144</v>
      </c>
      <c r="C11" s="211"/>
      <c r="D11" s="14">
        <f>+D9+D10</f>
        <v>93750</v>
      </c>
    </row>
    <row r="12" spans="1:5" ht="31.5" customHeight="1" x14ac:dyDescent="0.3">
      <c r="B12" s="208" t="s">
        <v>145</v>
      </c>
      <c r="C12" s="208"/>
      <c r="D12" s="11">
        <v>31250</v>
      </c>
    </row>
    <row r="13" spans="1:5" ht="36.75" customHeight="1" x14ac:dyDescent="0.3">
      <c r="B13" s="211" t="s">
        <v>146</v>
      </c>
      <c r="C13" s="211"/>
      <c r="D13" s="15">
        <f>SUM(D11:D12)</f>
        <v>125000</v>
      </c>
    </row>
    <row r="14" spans="1:5" s="17" customFormat="1" ht="18" customHeight="1" x14ac:dyDescent="0.3">
      <c r="A14" s="18"/>
      <c r="B14" s="22"/>
      <c r="C14" s="22"/>
      <c r="D14" s="23"/>
    </row>
    <row r="15" spans="1:5" s="17" customFormat="1" ht="84.75" customHeight="1" x14ac:dyDescent="0.3">
      <c r="A15" s="1">
        <v>5</v>
      </c>
      <c r="B15" s="210" t="s">
        <v>65</v>
      </c>
      <c r="C15" s="210"/>
      <c r="D15" s="210"/>
      <c r="E15" s="210"/>
    </row>
    <row r="16" spans="1:5" x14ac:dyDescent="0.3">
      <c r="B16" s="3"/>
      <c r="C16" s="3"/>
      <c r="D16" s="3"/>
      <c r="E16" s="3"/>
    </row>
    <row r="17" spans="1:5" ht="14.4" customHeight="1" x14ac:dyDescent="0.3">
      <c r="A17" s="1">
        <v>6</v>
      </c>
      <c r="B17" s="208" t="s">
        <v>190</v>
      </c>
      <c r="C17" s="208"/>
      <c r="D17" s="208"/>
      <c r="E17" s="208"/>
    </row>
    <row r="18" spans="1:5" x14ac:dyDescent="0.3">
      <c r="B18" s="10"/>
      <c r="C18" s="10"/>
      <c r="D18" s="10"/>
      <c r="E18" s="10"/>
    </row>
    <row r="19" spans="1:5" ht="33" customHeight="1" x14ac:dyDescent="0.3">
      <c r="A19" s="1">
        <v>7</v>
      </c>
      <c r="B19" s="208" t="s">
        <v>38</v>
      </c>
      <c r="C19" s="208"/>
      <c r="D19" s="208"/>
      <c r="E19" s="208"/>
    </row>
    <row r="20" spans="1:5" ht="14.25" customHeight="1" x14ac:dyDescent="0.3">
      <c r="B20" s="7"/>
      <c r="C20" s="7"/>
      <c r="D20" s="7"/>
      <c r="E20" s="7"/>
    </row>
    <row r="21" spans="1:5" ht="47.25" customHeight="1" x14ac:dyDescent="0.3">
      <c r="A21" s="1">
        <v>8</v>
      </c>
      <c r="B21" s="208" t="s">
        <v>39</v>
      </c>
      <c r="C21" s="208"/>
      <c r="D21" s="208"/>
      <c r="E21" s="208"/>
    </row>
    <row r="22" spans="1:5" ht="15" customHeight="1" x14ac:dyDescent="0.3">
      <c r="B22" s="7"/>
      <c r="C22" s="7"/>
      <c r="D22" s="7"/>
      <c r="E22" s="7"/>
    </row>
    <row r="23" spans="1:5" ht="32.25" customHeight="1" x14ac:dyDescent="0.3">
      <c r="A23" s="1">
        <v>9</v>
      </c>
      <c r="B23" s="208" t="s">
        <v>37</v>
      </c>
      <c r="C23" s="208"/>
      <c r="D23" s="208"/>
      <c r="E23" s="208"/>
    </row>
    <row r="24" spans="1:5" ht="15" customHeight="1" x14ac:dyDescent="0.3">
      <c r="B24" s="7"/>
      <c r="C24" s="7"/>
      <c r="D24" s="7"/>
      <c r="E24" s="7"/>
    </row>
    <row r="25" spans="1:5" ht="33" customHeight="1" x14ac:dyDescent="0.3">
      <c r="A25" s="1">
        <v>10</v>
      </c>
      <c r="B25" s="208" t="s">
        <v>40</v>
      </c>
      <c r="C25" s="208"/>
      <c r="D25" s="208"/>
      <c r="E25" s="208"/>
    </row>
    <row r="26" spans="1:5" x14ac:dyDescent="0.3">
      <c r="B26" s="3"/>
      <c r="C26" s="3"/>
      <c r="D26" s="3"/>
      <c r="E26" s="3"/>
    </row>
    <row r="27" spans="1:5" ht="30" customHeight="1" x14ac:dyDescent="0.3">
      <c r="A27" s="1">
        <v>11</v>
      </c>
      <c r="B27" s="208" t="s">
        <v>41</v>
      </c>
      <c r="C27" s="208"/>
      <c r="D27" s="208"/>
      <c r="E27" s="208"/>
    </row>
    <row r="28" spans="1:5" x14ac:dyDescent="0.3">
      <c r="B28" s="3"/>
      <c r="C28" s="3"/>
      <c r="D28" s="3"/>
      <c r="E28" s="3"/>
    </row>
    <row r="29" spans="1:5" ht="31.5" customHeight="1" x14ac:dyDescent="0.3">
      <c r="A29" s="1">
        <v>12</v>
      </c>
      <c r="B29" s="208" t="s">
        <v>42</v>
      </c>
      <c r="C29" s="208"/>
      <c r="D29" s="208"/>
      <c r="E29" s="208"/>
    </row>
    <row r="30" spans="1:5" x14ac:dyDescent="0.3">
      <c r="B30" s="7"/>
      <c r="C30" s="7"/>
      <c r="D30" s="7"/>
      <c r="E30" s="7"/>
    </row>
    <row r="31" spans="1:5" ht="34.5" customHeight="1" x14ac:dyDescent="0.3">
      <c r="A31" s="1">
        <v>13</v>
      </c>
      <c r="B31" s="208" t="s">
        <v>18</v>
      </c>
      <c r="C31" s="208"/>
      <c r="D31" s="208"/>
      <c r="E31" s="208"/>
    </row>
    <row r="32" spans="1:5" ht="16.5" customHeight="1" x14ac:dyDescent="0.3">
      <c r="B32" s="3"/>
      <c r="C32" s="3"/>
      <c r="D32" s="3"/>
      <c r="E32" s="3"/>
    </row>
    <row r="33" spans="1:5" ht="64.5" customHeight="1" x14ac:dyDescent="0.3">
      <c r="A33" s="1">
        <v>14</v>
      </c>
      <c r="B33" s="208" t="s">
        <v>19</v>
      </c>
      <c r="C33" s="208"/>
      <c r="D33" s="208"/>
      <c r="E33" s="208"/>
    </row>
    <row r="34" spans="1:5" ht="14.25" customHeight="1" x14ac:dyDescent="0.3">
      <c r="B34" s="3"/>
      <c r="C34" s="3"/>
      <c r="D34" s="3"/>
      <c r="E34" s="3"/>
    </row>
    <row r="35" spans="1:5" x14ac:dyDescent="0.3">
      <c r="A35" s="1">
        <v>15</v>
      </c>
      <c r="B35" s="212" t="s">
        <v>34</v>
      </c>
      <c r="C35" s="212"/>
      <c r="D35" s="212"/>
      <c r="E35" s="212"/>
    </row>
    <row r="36" spans="1:5" x14ac:dyDescent="0.3">
      <c r="B36" s="16" t="s">
        <v>7</v>
      </c>
      <c r="C36" s="206" t="s">
        <v>20</v>
      </c>
      <c r="D36" s="206"/>
      <c r="E36" s="206"/>
    </row>
    <row r="37" spans="1:5" x14ac:dyDescent="0.3">
      <c r="B37" s="5" t="s">
        <v>21</v>
      </c>
      <c r="C37" s="207" t="s">
        <v>28</v>
      </c>
      <c r="D37" s="207"/>
      <c r="E37" s="207"/>
    </row>
    <row r="38" spans="1:5" x14ac:dyDescent="0.3">
      <c r="B38" s="16" t="s">
        <v>22</v>
      </c>
      <c r="C38" s="206" t="s">
        <v>29</v>
      </c>
      <c r="D38" s="206"/>
      <c r="E38" s="206"/>
    </row>
    <row r="39" spans="1:5" x14ac:dyDescent="0.3">
      <c r="B39" s="5" t="s">
        <v>23</v>
      </c>
      <c r="C39" s="207" t="s">
        <v>32</v>
      </c>
      <c r="D39" s="207"/>
      <c r="E39" s="207"/>
    </row>
    <row r="40" spans="1:5" x14ac:dyDescent="0.3">
      <c r="B40" s="16" t="s">
        <v>9</v>
      </c>
      <c r="C40" s="206" t="s">
        <v>30</v>
      </c>
      <c r="D40" s="206"/>
      <c r="E40" s="206"/>
    </row>
    <row r="41" spans="1:5" x14ac:dyDescent="0.3">
      <c r="B41" s="5" t="s">
        <v>8</v>
      </c>
      <c r="C41" s="207" t="s">
        <v>24</v>
      </c>
      <c r="D41" s="207"/>
      <c r="E41" s="207"/>
    </row>
    <row r="42" spans="1:5" x14ac:dyDescent="0.3">
      <c r="B42" s="16" t="s">
        <v>25</v>
      </c>
      <c r="C42" s="206" t="s">
        <v>26</v>
      </c>
      <c r="D42" s="206"/>
      <c r="E42" s="206"/>
    </row>
    <row r="43" spans="1:5" x14ac:dyDescent="0.3">
      <c r="B43" s="5" t="s">
        <v>27</v>
      </c>
      <c r="C43" s="207" t="s">
        <v>31</v>
      </c>
      <c r="D43" s="207"/>
      <c r="E43" s="207"/>
    </row>
    <row r="44" spans="1:5" s="17" customFormat="1" x14ac:dyDescent="0.3">
      <c r="A44" s="18"/>
      <c r="B44" s="20"/>
      <c r="C44" s="21"/>
      <c r="D44" s="21"/>
      <c r="E44" s="21"/>
    </row>
    <row r="45" spans="1:5" s="17" customFormat="1" x14ac:dyDescent="0.3">
      <c r="A45" s="18">
        <v>16</v>
      </c>
      <c r="B45" s="24" t="s">
        <v>74</v>
      </c>
      <c r="C45" s="21"/>
      <c r="D45" s="21"/>
      <c r="E45" s="21"/>
    </row>
    <row r="46" spans="1:5" s="17" customFormat="1" ht="30" customHeight="1" x14ac:dyDescent="0.3">
      <c r="A46" s="18"/>
      <c r="B46" s="16" t="s">
        <v>55</v>
      </c>
      <c r="C46" s="206" t="s">
        <v>76</v>
      </c>
      <c r="D46" s="206"/>
      <c r="E46" s="206"/>
    </row>
    <row r="47" spans="1:5" s="17" customFormat="1" x14ac:dyDescent="0.3">
      <c r="A47" s="18"/>
      <c r="B47" s="20" t="s">
        <v>56</v>
      </c>
      <c r="C47" s="207" t="s">
        <v>75</v>
      </c>
      <c r="D47" s="207"/>
      <c r="E47" s="207"/>
    </row>
    <row r="48" spans="1:5" s="17" customFormat="1" ht="48.75" customHeight="1" x14ac:dyDescent="0.3">
      <c r="A48" s="18"/>
      <c r="B48" s="16" t="s">
        <v>57</v>
      </c>
      <c r="C48" s="206" t="s">
        <v>78</v>
      </c>
      <c r="D48" s="206"/>
      <c r="E48" s="206"/>
    </row>
    <row r="49" spans="1:5" s="17" customFormat="1" ht="29.25" customHeight="1" x14ac:dyDescent="0.3">
      <c r="A49" s="18"/>
      <c r="B49" s="20" t="s">
        <v>58</v>
      </c>
      <c r="C49" s="207" t="s">
        <v>77</v>
      </c>
      <c r="D49" s="207"/>
      <c r="E49" s="207"/>
    </row>
    <row r="50" spans="1:5" x14ac:dyDescent="0.3">
      <c r="B50" s="5"/>
      <c r="C50" s="6"/>
      <c r="D50" s="6"/>
      <c r="E50" s="6"/>
    </row>
    <row r="51" spans="1:5" ht="94.5" customHeight="1" x14ac:dyDescent="0.3">
      <c r="A51" s="1">
        <v>17</v>
      </c>
      <c r="B51" s="215" t="s">
        <v>33</v>
      </c>
      <c r="C51" s="215"/>
      <c r="D51" s="215"/>
      <c r="E51" s="215"/>
    </row>
    <row r="53" spans="1:5" x14ac:dyDescent="0.3">
      <c r="B53" s="2"/>
    </row>
    <row r="54" spans="1:5" x14ac:dyDescent="0.3">
      <c r="A54" s="214" t="s">
        <v>35</v>
      </c>
      <c r="B54" s="214"/>
      <c r="C54" s="214"/>
      <c r="D54" s="214"/>
      <c r="E54" s="214"/>
    </row>
  </sheetData>
  <mergeCells count="35">
    <mergeCell ref="B25:E25"/>
    <mergeCell ref="B27:E27"/>
    <mergeCell ref="B17:E17"/>
    <mergeCell ref="B6:E6"/>
    <mergeCell ref="A54:E54"/>
    <mergeCell ref="B19:E19"/>
    <mergeCell ref="B51:E51"/>
    <mergeCell ref="B35:E35"/>
    <mergeCell ref="C36:E36"/>
    <mergeCell ref="C37:E37"/>
    <mergeCell ref="C38:E38"/>
    <mergeCell ref="C39:E39"/>
    <mergeCell ref="C40:E40"/>
    <mergeCell ref="C41:E41"/>
    <mergeCell ref="C42:E42"/>
    <mergeCell ref="C43:E43"/>
    <mergeCell ref="B21:E21"/>
    <mergeCell ref="B23:E23"/>
    <mergeCell ref="B1:E1"/>
    <mergeCell ref="B2:E2"/>
    <mergeCell ref="B4:E4"/>
    <mergeCell ref="B15:E15"/>
    <mergeCell ref="B10:C10"/>
    <mergeCell ref="B11:C11"/>
    <mergeCell ref="B13:C13"/>
    <mergeCell ref="B12:C12"/>
    <mergeCell ref="B8:C8"/>
    <mergeCell ref="B9:C9"/>
    <mergeCell ref="C46:E46"/>
    <mergeCell ref="C47:E47"/>
    <mergeCell ref="C49:E49"/>
    <mergeCell ref="C48:E48"/>
    <mergeCell ref="B29:E29"/>
    <mergeCell ref="B31:E31"/>
    <mergeCell ref="B33:E33"/>
  </mergeCells>
  <pageMargins left="0.25" right="0.25" top="0.75" bottom="0.75" header="0.3" footer="0.3"/>
  <pageSetup orientation="portrait" horizontalDpi="1200" verticalDpi="1200" r:id="rId1"/>
  <headerFooter>
    <oddHeader>&amp;L&amp;"-,Bold"&amp;12Federal Funds Ledger Notes&amp;RPrinted &amp;D</oddHeader>
    <oddFooter>&amp;L&amp;8&amp;Z&amp;F&amp;C&amp;P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Federal Funds Transactions</vt:lpstr>
      <vt:lpstr>Regional Loans and Transfers</vt:lpstr>
      <vt:lpstr>Notes</vt:lpstr>
      <vt:lpstr>'Federal Funds Transactions'!Print_Area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dc:creator>
  <cp:lastModifiedBy>Patrick Stone</cp:lastModifiedBy>
  <cp:lastPrinted>2014-03-14T19:56:21Z</cp:lastPrinted>
  <dcterms:created xsi:type="dcterms:W3CDTF">2013-05-11T20:19:37Z</dcterms:created>
  <dcterms:modified xsi:type="dcterms:W3CDTF">2016-09-20T14:13:44Z</dcterms:modified>
</cp:coreProperties>
</file>