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5480" windowHeight="4200"/>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Transactions'!$A$1:$T$40</definedName>
    <definedName name="Query_from_MS_Access_Database" localSheetId="0" hidden="1">'Federal Funds Transactions'!$A$15:$Q$40</definedName>
    <definedName name="Query_from_MS_Access_Database" localSheetId="1" hidden="1">'Regional Loans and Transfers'!$A$11:$R$35</definedName>
    <definedName name="Query_from_MS_Access_Database_1" localSheetId="0" hidden="1">'Federal Funds Transactions'!$A$45:$Q$46</definedName>
    <definedName name="Query_from_MS_Access_Database_1" localSheetId="1" hidden="1">'Regional Loans and Transfers'!$A$38:$R$61</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R46" i="1" l="1"/>
  <c r="S46" i="1" s="1"/>
  <c r="F46" i="1"/>
  <c r="S16" i="1"/>
  <c r="S17" i="1" s="1"/>
  <c r="S18" i="1" s="1"/>
  <c r="S19" i="1" s="1"/>
  <c r="S20" i="1" s="1"/>
  <c r="S21" i="1" s="1"/>
  <c r="S22" i="1" s="1"/>
  <c r="S23" i="1" s="1"/>
  <c r="S24" i="1" s="1"/>
  <c r="S25" i="1" s="1"/>
  <c r="S26" i="1" s="1"/>
  <c r="S27" i="1" s="1"/>
  <c r="S28" i="1" s="1"/>
  <c r="S29" i="1" s="1"/>
  <c r="S30" i="1" s="1"/>
  <c r="S31" i="1" s="1"/>
  <c r="S32" i="1" s="1"/>
  <c r="S33" i="1" s="1"/>
  <c r="S34" i="1" s="1"/>
  <c r="S35" i="1" s="1"/>
  <c r="S36" i="1" s="1"/>
  <c r="S37" i="1" s="1"/>
  <c r="S38" i="1" s="1"/>
  <c r="S39" i="1" s="1"/>
  <c r="S40" i="1" s="1"/>
  <c r="F16" i="1"/>
  <c r="F17" i="1"/>
  <c r="F18" i="1"/>
  <c r="F19" i="1"/>
  <c r="F20" i="1"/>
  <c r="F21" i="1"/>
  <c r="F22" i="1"/>
  <c r="F23" i="1"/>
  <c r="F24" i="1"/>
  <c r="F25" i="1"/>
  <c r="F26" i="1"/>
  <c r="F27" i="1"/>
  <c r="F28" i="1"/>
  <c r="F29" i="1"/>
  <c r="F30" i="1"/>
  <c r="F31" i="1"/>
  <c r="F32" i="1"/>
  <c r="F33" i="1"/>
  <c r="F34" i="1"/>
  <c r="F35" i="1"/>
  <c r="F36" i="1"/>
  <c r="F37" i="1"/>
  <c r="F38" i="1"/>
  <c r="F39" i="1"/>
  <c r="F40" i="1"/>
  <c r="R16" i="1"/>
  <c r="R17" i="1"/>
  <c r="R18" i="1"/>
  <c r="R19" i="1"/>
  <c r="R20" i="1"/>
  <c r="R21" i="1"/>
  <c r="R22" i="1"/>
  <c r="R23" i="1"/>
  <c r="R24" i="1"/>
  <c r="R25" i="1"/>
  <c r="R26" i="1"/>
  <c r="R27" i="1"/>
  <c r="R28" i="1"/>
  <c r="R29" i="1"/>
  <c r="R30" i="1"/>
  <c r="R31" i="1"/>
  <c r="R32" i="1"/>
  <c r="R33" i="1"/>
  <c r="R34" i="1"/>
  <c r="R35" i="1"/>
  <c r="R36" i="1"/>
  <c r="R37" i="1"/>
  <c r="R38" i="1"/>
  <c r="R39" i="1"/>
  <c r="R40" i="1"/>
  <c r="Q5" i="1" l="1"/>
  <c r="S54" i="1" l="1"/>
  <c r="Q54" i="1"/>
  <c r="P54" i="1"/>
  <c r="O54" i="1"/>
  <c r="N54" i="1"/>
  <c r="S11" i="1" l="1"/>
  <c r="Q11" i="1"/>
  <c r="P11" i="1"/>
  <c r="O11" i="1"/>
  <c r="N11" i="1"/>
  <c r="S10" i="1"/>
  <c r="Q10" i="1"/>
  <c r="P10" i="1"/>
  <c r="O10" i="1"/>
  <c r="N10" i="1"/>
  <c r="S9" i="1"/>
  <c r="Q9" i="1"/>
  <c r="O9" i="1"/>
  <c r="N9" i="1"/>
  <c r="S8" i="1"/>
  <c r="Q8" i="1"/>
  <c r="P8" i="1"/>
  <c r="O8" i="1"/>
  <c r="N8" i="1"/>
  <c r="S7" i="1"/>
  <c r="Q7" i="1"/>
  <c r="P7" i="1"/>
  <c r="O7" i="1"/>
  <c r="N7" i="1"/>
  <c r="S6" i="1"/>
  <c r="Q6" i="1"/>
  <c r="P6" i="1"/>
  <c r="O6" i="1"/>
  <c r="N6" i="1"/>
  <c r="R56" i="1" l="1"/>
  <c r="P5" i="1" l="1"/>
  <c r="D13" i="2" l="1"/>
  <c r="D11" i="2"/>
  <c r="R54" i="1" l="1"/>
  <c r="B5" i="3"/>
  <c r="N41" i="1" l="1"/>
  <c r="R4" i="1" l="1"/>
  <c r="R5" i="1" l="1"/>
  <c r="S5" i="1" s="1"/>
  <c r="O47" i="1" l="1"/>
  <c r="P47" i="1"/>
  <c r="Q47" i="1"/>
  <c r="R47" i="1"/>
  <c r="N47" i="1"/>
  <c r="O41" i="1"/>
  <c r="P41" i="1"/>
  <c r="Q41" i="1"/>
  <c r="R41" i="1" l="1"/>
  <c r="O12" i="1" l="1"/>
  <c r="O42" i="1" s="1"/>
  <c r="A7" i="3" l="1"/>
  <c r="R7" i="1" l="1"/>
  <c r="R8" i="1"/>
  <c r="R9" i="1"/>
  <c r="R10" i="1"/>
  <c r="R11" i="1"/>
  <c r="P12" i="1" l="1"/>
  <c r="O48" i="1" l="1"/>
  <c r="O53" i="1" s="1"/>
  <c r="O55" i="1" s="1"/>
  <c r="P42" i="1"/>
  <c r="R6" i="1"/>
  <c r="A1" i="3" l="1"/>
  <c r="N12" i="1" l="1"/>
  <c r="N42" i="1" l="1"/>
  <c r="N48" i="1" s="1"/>
  <c r="N53" i="1" s="1"/>
  <c r="N55" i="1" s="1"/>
  <c r="Q12" i="1"/>
  <c r="Q42" i="1" s="1"/>
  <c r="R12" i="1" l="1"/>
  <c r="P48" i="1"/>
  <c r="P53" i="1" s="1"/>
  <c r="P55" i="1" s="1"/>
  <c r="S12" i="1"/>
  <c r="S53" i="1" l="1"/>
  <c r="Q48" i="1"/>
  <c r="Q53" i="1" s="1"/>
  <c r="Q55" i="1" s="1"/>
  <c r="R42" i="1"/>
  <c r="R48" i="1" s="1"/>
  <c r="R53" i="1" l="1"/>
  <c r="R55" i="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0-SUNMPO LEDGER`.`ADOT#`, `10-SUNMPO LEDGER`.`TIP#`, `10-SUNMPO LEDGER`.Sponsor, `10-SUNMPO LEDGER`.`Action/15`, `10-SUNMPO LEDGER`.Location, `10-SUNMPO LEDGER`.RTE, `10-SUNMPO LEDGER`.SEC, `10-SUNMPO LEDGER`.SEQ, `10-SUNMPO LEDGER`.`PB Expected`, `10-SUNMPO LEDGER`.`PB Received`, `10-SUNMPO LEDGER`.`PF Transmitted`, `10-SUNMPO LEDGER`.`Finance Authorization`, `10-SUNMPO LEDGER`.HSIP, `10-SUNMPO LEDGER`.PL, `10-SUNMPO LEDGER`.SPR, `10-SUNMPO LEDGER`.`STP OTHER`_x000d__x000a_FROM `G:\FMS\RESOURCE\ACCESS\010614 PBPF\011614 PBPF front.accdb`.`10-SUNMPO LEDGER` `10-SUNMPO LEDGER`_x000d__x000a_WHERE (`10-SUNMPO LEDGER`.`ADOT#`&lt;&gt;'Trick') AND (`10-SUNMPO LEDGER`.`Finance Authorization`&gt;=#10/1/2016# AND `10-SUNMPO LEDGER`.`Finance Authorization`&lt;=#9/30/2017#)_x000d__x000a_ORDER BY `10-SUN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0-SUNqryLedgerApportsCrosstab`.`Transaction Year`, `10-SUNqryLedgerApportsCrosstab`.`Transaction Type`, `10-SUNqryLedgerApportsCrosstab`.Number, `10-SUNqryLedgerApportsCrosstab`.`From`, `10-SUNqryLedgerApportsCrosstab`.To, `10-SUNqryLedgerApportsCrosstab`.`Repayment Year`, `10-SUNqryLedgerApportsCrosstab`.Project8, `10-SUNqryLedgerApportsCrosstab`.Notes, `10-SUNqryLedgerApportsCrosstab`.Total, `10-SUNqryLedgerApportsCrosstab`.CMAQ, `10-SUNqryLedgerApportsCrosstab`.`CMAQ 2_5`, `10-SUNqryLedgerApportsCrosstab`.HSIP, `10-SUNqryLedgerApportsCrosstab`.PL, `10-SUNqryLedgerApportsCrosstab`.SPR, `10-SUNqryLedgerApportsCrosstab`.`STP other`, `10-SUNqryLedgerApportsCrosstab`.`STP over 200K`, `10-SUNqryLedgerApportsCrosstab`.`TA other`, `10-SUNqryLedgerApportsCrosstab`.`TA over 200K`_x000d__x000a_FROM `G:\FMS\RESOURCE\ACCESS\010614 PBPF\011614 PBPF front.accdb`.`10-SUNqryLedgerApportsCrosstab` `10-SUNqryLedgerApportsCrosstab`_x000d__x000a_WHERE (`10-SUN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0-SUNqryLedgerOACrosstab`.`Transaction Year`, `10-SUNqryLedgerOACrosstab`.`Transaction Type`, `10-SUNqryLedgerOACrosstab`.Number, `10-SUNqryLedgerOACrosstab`.`From`, `10-SUNqryLedgerOACrosstab`.To, `10-SUNqryLedgerOACrosstab`.`Repayment Year`, `10-SUNqryLedgerOACrosstab`.Project8, `10-SUNqryLedgerOACrosstab`.Notes, `10-SUNqryLedgerOACrosstab`.Total, `10-SUNqryLedgerOACrosstab`.CMAQ, `10-SUNqryLedgerOACrosstab`.`CMAQ 2_5`, `10-SUNqryLedgerOACrosstab`.HSIP, `10-SUNqryLedgerOACrosstab`.PL, `10-SUNqryLedgerOACrosstab`.SPR, `10-SUNqryLedgerOACrosstab`.`STP other`, `10-SUNqryLedgerOACrosstab`.`STP over 200K`, `10-SUNqryLedgerOACrosstab`.`TA other`, `10-SUNqryLedgerOACrosstab`.`TA over 200K`_x000d__x000a_FROM `G:\FMS\RESOURCE\ACCESS\010614 PBPF\011614 PBPF front.accdb`.`10-SUNqryLedgerOACrosstab` `10-SUNqryLedgerOACrosstab`_x000d__x000a_WHERE (`10-SUN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0-SUNMPO LEDGER`.`ADOT#`, `10-SUNMPO LEDGER`.`TIP#`, `10-SUNMPO LEDGER`.Sponsor, `10-SUNMPO LEDGER`.`Action/15`, `10-SUNMPO LEDGER`.Location, `10-SUNMPO LEDGER`.RTE, `10-SUNMPO LEDGER`.SEC, `10-SUNMPO LEDGER`.SEQ, `10-SUNMPO LEDGER`.`PB Expected`, `10-SUNMPO LEDGER`.`PB Received`, `10-SUNMPO LEDGER`.`PF Transmitted`, `10-SUNMPO LEDGER`.`Finance Authorization`, `10-SUNMPO LEDGER`.HSIP, `10-SUNMPO LEDGER`.PL, `10-SUNMPO LEDGER`.SPR, `10-SUNMPO LEDGER`.`STP OTHER`_x000d__x000a_FROM `G:\FMS\RESOURCE\ACCESS\010614 PBPF\011614 PBPF front.accdb`.`10-SUNMPO LEDGER` `10-SUNMPO LEDGER`_x000d__x000a_WHERE (`10-SUNMPO LEDGER`.`ADOT#` Not Like 'Trick') AND (`10-SUNMPO LEDGER`.`Finance Authorization` Is Null) AND ((`10-SUNMPO LEDGER`.`PB Expected`&gt;=#10/1/2016# and `PB Expected`&lt;=#9/30/2017#) OR (`10-SUNMPO LEDGER`.`PB Received`&gt;=#10/1/2016# and `PB Received`&lt;=#9/30/2017#) OR (`10-SUNMPO LEDGER`.`PF Transmitted`&gt;=#10/1/2016# and `PF Transmitted`&lt;=#9/30/2017#))_x000d__x000a_ORDER BY `10-SUNMPO LEDGER`.`ADOT#`"/>
  </connection>
</connections>
</file>

<file path=xl/sharedStrings.xml><?xml version="1.0" encoding="utf-8"?>
<sst xmlns="http://schemas.openxmlformats.org/spreadsheetml/2006/main" count="710" uniqueCount="248">
  <si>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</si>
  <si>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</si>
  <si>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</si>
  <si>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</si>
  <si>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</si>
  <si>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</si>
  <si>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</si>
  <si>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</si>
  <si>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</si>
  <si>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</si>
  <si>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</si>
  <si>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</si>
  <si>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</si>
  <si>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</si>
  <si>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</si>
  <si>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</si>
  <si>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</si>
  <si>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</si>
  <si>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</si>
  <si>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</si>
  <si>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</si>
  <si>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</si>
  <si>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</si>
  <si>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</si>
  <si>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</si>
  <si>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</si>
  <si>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</si>
  <si>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</si>
  <si>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</si>
  <si>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</si>
  <si>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</si>
  <si>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</si>
  <si>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</si>
  <si>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</si>
  <si>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</si>
  <si>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</si>
  <si>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</si>
  <si>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</si>
  <si>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</si>
  <si>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</si>
  <si>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</si>
  <si>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</si>
  <si>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</si>
  <si>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</si>
  <si>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</si>
  <si>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</si>
  <si>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</si>
  <si>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</si>
  <si>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</si>
  <si>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</si>
  <si>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</si>
  <si>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</si>
  <si>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RTE</t>
  </si>
  <si>
    <t>SEC</t>
  </si>
  <si>
    <t>SEQ</t>
  </si>
  <si>
    <t>PB Expected</t>
  </si>
  <si>
    <t>PB Received</t>
  </si>
  <si>
    <t>PF Transmitted</t>
  </si>
  <si>
    <t>Finance Authorization</t>
  </si>
  <si>
    <t>STP OTHER</t>
  </si>
  <si>
    <t>FED #</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</si>
  <si>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</si>
  <si>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</si>
  <si>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</si>
  <si>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</si>
  <si>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</si>
  <si>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</si>
  <si>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STP</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</si>
  <si>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</si>
  <si>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</si>
  <si>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</si>
  <si>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</si>
  <si>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</si>
  <si>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</si>
  <si>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</si>
  <si>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</si>
  <si>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</si>
  <si>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</si>
  <si>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</si>
  <si>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</si>
  <si>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</si>
  <si>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</si>
  <si>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</si>
  <si>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</si>
  <si>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</si>
  <si>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</si>
  <si>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</si>
  <si>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</si>
  <si>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</si>
  <si>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</si>
  <si>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</si>
  <si>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</si>
  <si>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</si>
  <si>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</si>
  <si>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</si>
  <si>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Repayment Out</t>
  </si>
  <si>
    <t>Transfer In</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</si>
  <si>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</si>
  <si>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</si>
  <si>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</si>
  <si>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</si>
  <si>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From</t>
  </si>
  <si>
    <t>To</t>
  </si>
  <si>
    <t>Project8</t>
  </si>
  <si>
    <t>Notes</t>
  </si>
  <si>
    <t>DECLINING BALANCE OA</t>
  </si>
  <si>
    <t>Sun Corridor Metropolitan Planning Organization</t>
  </si>
  <si>
    <r>
      <rPr>
        <b/>
        <sz val="11"/>
        <color rgb="FFFF0000"/>
        <rFont val="Arial Unicode MS"/>
        <family val="2"/>
      </rPr>
      <t>DRAFT</t>
    </r>
    <r>
      <rPr>
        <sz val="11"/>
        <color theme="1"/>
        <rFont val="Arial Unicode MS"/>
        <family val="2"/>
      </rPr>
      <t xml:space="preserve"> Data as of:</t>
    </r>
  </si>
  <si>
    <t>Loan In</t>
  </si>
  <si>
    <t>SUNMPO</t>
  </si>
  <si>
    <t>2014</t>
  </si>
  <si>
    <t>CAG-T002</t>
  </si>
  <si>
    <t>CAG</t>
  </si>
  <si>
    <t>None</t>
  </si>
  <si>
    <t>SZ130</t>
  </si>
  <si>
    <t>STP Transfer to SCMPO from SUNMPO</t>
  </si>
  <si>
    <t>WACOG14-L004</t>
  </si>
  <si>
    <t>WACOG</t>
  </si>
  <si>
    <t>2016</t>
  </si>
  <si>
    <t>SCMPO SAFTEY PLAN</t>
  </si>
  <si>
    <t>WACOG HSIP LOAN TO SUNPMO</t>
  </si>
  <si>
    <t>WACOG HSIP LOAN TO SUNPMO REPAYMENT</t>
  </si>
  <si>
    <t>ADOT</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</si>
  <si>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</si>
  <si>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Current FFY
Apportionments /5</t>
  </si>
  <si>
    <t>Lapsing</t>
  </si>
  <si>
    <t>SUNMPO-LP01</t>
  </si>
  <si>
    <t>SUNMPO LAPSING FUNDS - FFY14</t>
  </si>
  <si>
    <t>2015</t>
  </si>
  <si>
    <t>NACOG-15L1</t>
  </si>
  <si>
    <t>NACOG</t>
  </si>
  <si>
    <t>NACOG Loan to SCMPO</t>
  </si>
  <si>
    <t>Loan Out</t>
  </si>
  <si>
    <t>SCMPO-15L1</t>
  </si>
  <si>
    <t>2017</t>
  </si>
  <si>
    <t>SCMPO Loan to CAG</t>
  </si>
  <si>
    <t>Repayment In</t>
  </si>
  <si>
    <t>0</t>
  </si>
  <si>
    <t>204</t>
  </si>
  <si>
    <t>ELOY</t>
  </si>
  <si>
    <t>ELY</t>
  </si>
  <si>
    <t>VARIOUS</t>
  </si>
  <si>
    <t>A</t>
  </si>
  <si>
    <t>P</t>
  </si>
  <si>
    <t>COOLIDGE</t>
  </si>
  <si>
    <t>CLG</t>
  </si>
  <si>
    <t>PSC1501P</t>
  </si>
  <si>
    <t>999</t>
  </si>
  <si>
    <t>481</t>
  </si>
  <si>
    <t>SCMPOMAG-16L1</t>
  </si>
  <si>
    <t>MAG</t>
  </si>
  <si>
    <t>SCMPO STP Loan to MAG</t>
  </si>
  <si>
    <t>SCMPOADOT-16L1</t>
  </si>
  <si>
    <t>T005501C</t>
  </si>
  <si>
    <t>SCMPO HSIP Loan to ADOT</t>
  </si>
  <si>
    <t>PSC1702P</t>
  </si>
  <si>
    <t>SCM</t>
  </si>
  <si>
    <t>017</t>
  </si>
  <si>
    <t>H887701C</t>
  </si>
  <si>
    <t>SH64501C</t>
  </si>
  <si>
    <t>PINAL CO-SUNMPO</t>
  </si>
  <si>
    <t>Sign Upgrade, Pinal County</t>
  </si>
  <si>
    <t>PPN</t>
  </si>
  <si>
    <t>212</t>
  </si>
  <si>
    <t>SH64601C</t>
  </si>
  <si>
    <t>ELY HSIP15-012C</t>
  </si>
  <si>
    <t>VARIOUS LOCATIONS, ELOY</t>
  </si>
  <si>
    <t>SMP STP 16-HPMS-21</t>
  </si>
  <si>
    <t>SZ13001C</t>
  </si>
  <si>
    <t>CLG 16-01C</t>
  </si>
  <si>
    <t>CENTRAL AVE; MAIN STREET- FIRST STREET</t>
  </si>
  <si>
    <t>207</t>
  </si>
  <si>
    <t>Federal Fiscal Year 2017</t>
  </si>
  <si>
    <t>Planned Lapsing - 06/30/17</t>
  </si>
  <si>
    <t>Lapsed - 07/01/17</t>
  </si>
  <si>
    <t>Planned Lapsing - 09/30/17</t>
  </si>
  <si>
    <t>Carry Forward to FFY 18</t>
  </si>
  <si>
    <t>NACOGSCMPO-17</t>
  </si>
  <si>
    <t>2018</t>
  </si>
  <si>
    <t>Toltec Rd</t>
  </si>
  <si>
    <t>NACOG STP Loan to SCMPO</t>
  </si>
  <si>
    <t>SMP 15-HPMS / SMP STP 16-HPMS-1</t>
  </si>
  <si>
    <t>SCMPO FY15 WP - STP (HPMS)</t>
  </si>
  <si>
    <t>PSC1701P</t>
  </si>
  <si>
    <t>SCMPO 2017 WP - SPR</t>
  </si>
  <si>
    <t>S</t>
  </si>
  <si>
    <t>SCMPO 2017 WP - PL</t>
  </si>
  <si>
    <t>PSC1801P</t>
  </si>
  <si>
    <t>SCMPO 2018 WP - SPR</t>
  </si>
  <si>
    <t>018</t>
  </si>
  <si>
    <t>PSC1802P</t>
  </si>
  <si>
    <t>SCMPO 2018 WP - PL</t>
  </si>
  <si>
    <t>State FY 17 Approved work program amount</t>
  </si>
  <si>
    <t>State FY 17 amount authorized prior to 09/30/16 or Lapsed FY16 funding</t>
  </si>
  <si>
    <t xml:space="preserve">State FY 17 amount available for authorization 10/01/16 - 06/30/17 </t>
  </si>
  <si>
    <t>State FY 18 amount avaiilable for authorization 07/1/17 - 09/30/17 (request must be submitted by 06/30/17)</t>
  </si>
  <si>
    <t>Total SPR apportionments for Federal Fiscal Year 17 (as shown on ledger)</t>
  </si>
  <si>
    <t>PNL HSIP 15-014C</t>
  </si>
  <si>
    <t>Transfer Out</t>
  </si>
  <si>
    <t>SCMPOADOT-17T1</t>
  </si>
  <si>
    <t>SCMPO HSIP Transfer to ADOT</t>
  </si>
  <si>
    <t>The  OA/Apportionments rate for FFY 17 is 94.9%.  The rate for calculations is 0.949. This rate is subject to change based on additonal congressional action.</t>
  </si>
  <si>
    <t>PSC1401P</t>
  </si>
  <si>
    <t>SUN CORRIDOR SURFACE TRANSPORT PROG 2014</t>
  </si>
  <si>
    <t>445</t>
  </si>
  <si>
    <t>SH64703D</t>
  </si>
  <si>
    <t>ELY HSIP15-013D</t>
  </si>
  <si>
    <t>VARIOUS LOCATIONS, ELOY - PAVEMENT MARKINGS</t>
  </si>
  <si>
    <t>205</t>
  </si>
  <si>
    <t>SH64701C</t>
  </si>
  <si>
    <t>ELY HSIP15-013C</t>
  </si>
  <si>
    <t>VARIOUS LOCATIONS IN ELOY</t>
  </si>
  <si>
    <t>CAGSCMPO-17T1</t>
  </si>
  <si>
    <t>Pinal County Safety Study</t>
  </si>
  <si>
    <t>CAG HSIP Transfer to SCMPO</t>
  </si>
  <si>
    <t>SCMPOADOT-17L1</t>
  </si>
  <si>
    <t>MAGSCMPO-17T1</t>
  </si>
  <si>
    <t>Regional Safety Plan</t>
  </si>
  <si>
    <t>MAG HSIP Transfer to SCMPO</t>
  </si>
  <si>
    <t>SCMPOMAG-17L1</t>
  </si>
  <si>
    <t>PSC1703P</t>
  </si>
  <si>
    <t>SCMPO 2017 REGIONAL TRAFFIC COUNT, DATA COLLECTION &amp; MAPPING PROJECT</t>
  </si>
  <si>
    <t>T</t>
  </si>
  <si>
    <t>PSC1707P</t>
  </si>
  <si>
    <t>H</t>
  </si>
  <si>
    <t>SH49803D</t>
  </si>
  <si>
    <t>CITY OF COOLIDGE CITY ST SIGN REHAB</t>
  </si>
  <si>
    <t>203</t>
  </si>
  <si>
    <t>SH49801C</t>
  </si>
  <si>
    <t>CITY OF COOLIDGE CITY STREET SIGN REHAB</t>
  </si>
  <si>
    <t>RLTAP22P</t>
  </si>
  <si>
    <t>FY17 LTAP - LOCAL TECHNICAL ASSISTANCE PROGRAM</t>
  </si>
  <si>
    <t>094</t>
  </si>
  <si>
    <t>287</t>
  </si>
  <si>
    <t>SCMPOADOT-17L2</t>
  </si>
  <si>
    <t>2018/20</t>
  </si>
  <si>
    <t>2020</t>
  </si>
  <si>
    <t>CSG HSIP 15-01601C</t>
  </si>
  <si>
    <t>CASA GRANDE</t>
  </si>
  <si>
    <t>FLORENCE BLVD; PEDSTRIAN SAFETY IMPROVEMENTS</t>
  </si>
  <si>
    <t>CSG</t>
  </si>
  <si>
    <t>206</t>
  </si>
  <si>
    <t>T005501D</t>
  </si>
  <si>
    <t>CSG HSIP 15-01601D</t>
  </si>
  <si>
    <t>SZ13002D</t>
  </si>
  <si>
    <t>CLG 16-01D</t>
  </si>
  <si>
    <t>MAIN ST FROM COOLIDGE AVE TO PINKLEY AVE, COOLIDGE</t>
  </si>
  <si>
    <t>fo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</si>
</sst>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z val="9"/>
      <color theme="1"/>
      <name val="Arial Unicode MS"/>
      <family val="2"/>
    </font>
    <font>
      <sz val="9"/>
      <name val="Arial Unicode MS"/>
      <family val="2"/>
    </font>
    <font>
      <sz val="11"/>
      <color theme="1"/>
      <name val="Calibri"/>
      <family val="2"/>
      <scheme val="minor"/>
    </font>
    <font>
      <sz val="9"/>
      <name val="Arial Unicode MS"/>
      <family val="2"/>
    </font>
    <font>
      <sz val="9"/>
      <color theme="1"/>
      <name val="Arial Unicode MS"/>
      <family val="2"/>
    </font>
    <font>
      <sz val="11"/>
      <color theme="1"/>
      <name val="Calibri"/>
      <family val="2"/>
      <scheme val="minor"/>
    </font>
    <font>
      <sz val="9"/>
      <color theme="1"/>
      <name val="Arial Unicode MS"/>
      <family val="2"/>
    </font>
    <font>
      <sz val="9"/>
      <name val="Arial Unicode MS"/>
      <family val="2"/>
    </font>
    <font>
      <sz val="11"/>
      <color theme="1"/>
      <name val="Calibri"/>
      <family val="2"/>
      <scheme val="minor"/>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FFFCC"/>
        <bgColor indexed="64"/>
      </patternFill>
    </fill>
    <fill>
      <patternFill patternType="solid">
        <fgColor rgb="FFFFFFCC"/>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240">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19" fillId="2" borderId="16" xfId="1" applyNumberFormat="1" applyFont="1" applyFill="1" applyBorder="1" applyAlignment="1">
      <alignment horizontal="center" vertical="center" wrapText="1"/>
    </xf>
    <xf numFmtId="0" fontId="16" fillId="0" borderId="0" xfId="0" applyFont="1" applyAlignment="1">
      <alignment horizontal="left" vertical="top" wrapText="1"/>
    </xf>
    <xf numFmtId="40" fontId="20" fillId="0" borderId="3" xfId="0" applyNumberFormat="1" applyFont="1" applyFill="1" applyBorder="1" applyAlignment="1">
      <alignment horizontal="right" vertical="top" wrapText="1"/>
    </xf>
    <xf numFmtId="40" fontId="20" fillId="0" borderId="1" xfId="0" applyNumberFormat="1" applyFont="1" applyFill="1" applyBorder="1" applyAlignment="1">
      <alignment horizontal="right" vertical="top" wrapText="1"/>
    </xf>
    <xf numFmtId="40" fontId="20" fillId="0" borderId="4" xfId="0" applyNumberFormat="1" applyFont="1" applyFill="1" applyBorder="1" applyAlignment="1">
      <alignment horizontal="right" vertical="top" wrapText="1"/>
    </xf>
    <xf numFmtId="49" fontId="14" fillId="0" borderId="0" xfId="1" applyNumberFormat="1" applyFont="1" applyAlignment="1">
      <alignment vertical="top" wrapText="1"/>
    </xf>
    <xf numFmtId="40" fontId="20" fillId="0" borderId="3" xfId="0" applyNumberFormat="1" applyFont="1" applyFill="1" applyBorder="1" applyAlignment="1">
      <alignment vertical="top" wrapText="1"/>
    </xf>
    <xf numFmtId="40" fontId="24"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6" fillId="0" borderId="3" xfId="0" applyNumberFormat="1" applyFont="1" applyFill="1" applyBorder="1" applyAlignment="1">
      <alignment horizontal="right" vertical="top" wrapText="1"/>
    </xf>
    <xf numFmtId="40" fontId="26" fillId="0" borderId="1" xfId="0" applyNumberFormat="1" applyFont="1" applyFill="1" applyBorder="1" applyAlignment="1">
      <alignment horizontal="right" vertical="top" wrapText="1"/>
    </xf>
    <xf numFmtId="40" fontId="23" fillId="0" borderId="0" xfId="0" applyNumberFormat="1" applyFont="1" applyBorder="1" applyAlignment="1">
      <alignment horizontal="left" vertical="top" wrapText="1"/>
    </xf>
    <xf numFmtId="40" fontId="23"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4" fillId="0" borderId="0" xfId="0" applyNumberFormat="1" applyFont="1" applyBorder="1" applyAlignment="1">
      <alignment vertical="top" wrapText="1"/>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0" fillId="0" borderId="0" xfId="0" applyFont="1" applyBorder="1" applyAlignment="1">
      <alignment vertical="top" wrapText="1"/>
    </xf>
    <xf numFmtId="0" fontId="24" fillId="0" borderId="0" xfId="0" applyFont="1" applyBorder="1" applyAlignment="1">
      <alignment vertical="top" wrapText="1"/>
    </xf>
    <xf numFmtId="40" fontId="20" fillId="0" borderId="0" xfId="0" applyNumberFormat="1" applyFont="1" applyBorder="1" applyAlignment="1">
      <alignment vertical="top" wrapText="1"/>
    </xf>
    <xf numFmtId="0" fontId="28" fillId="0" borderId="0" xfId="0" applyFont="1" applyAlignment="1">
      <alignment horizontal="left" vertical="top"/>
    </xf>
    <xf numFmtId="43" fontId="0" fillId="0" borderId="1" xfId="3" applyFont="1" applyBorder="1"/>
    <xf numFmtId="43" fontId="13" fillId="0" borderId="1" xfId="3" applyFont="1" applyBorder="1"/>
    <xf numFmtId="43" fontId="0" fillId="0" borderId="10" xfId="3" applyFont="1" applyBorder="1"/>
    <xf numFmtId="43" fontId="13" fillId="0" borderId="10" xfId="3" applyFont="1" applyBorder="1"/>
    <xf numFmtId="43" fontId="13" fillId="0" borderId="2" xfId="3" applyFont="1" applyBorder="1"/>
    <xf numFmtId="14" fontId="0" fillId="0" borderId="0" xfId="3" applyNumberFormat="1" applyFont="1" applyAlignment="1">
      <alignment horizontal="left" vertical="center" wrapText="1"/>
    </xf>
    <xf numFmtId="14" fontId="14" fillId="0" borderId="0" xfId="0" applyNumberFormat="1" applyFont="1" applyAlignment="1">
      <alignment vertical="center" wrapText="1"/>
    </xf>
    <xf numFmtId="14" fontId="23" fillId="2" borderId="1" xfId="0" applyNumberFormat="1" applyFont="1" applyFill="1" applyBorder="1" applyAlignment="1">
      <alignment horizontal="center" vertical="center" wrapText="1"/>
    </xf>
    <xf numFmtId="14" fontId="19" fillId="0" borderId="9" xfId="1" applyNumberFormat="1" applyFont="1" applyFill="1" applyBorder="1" applyAlignment="1">
      <alignment horizontal="center" vertical="center" wrapText="1"/>
    </xf>
    <xf numFmtId="40" fontId="19" fillId="0" borderId="14" xfId="1" applyNumberFormat="1" applyFont="1" applyFill="1" applyBorder="1" applyAlignment="1">
      <alignment horizontal="center" vertical="center" wrapText="1"/>
    </xf>
    <xf numFmtId="40" fontId="19" fillId="0" borderId="5" xfId="1" applyNumberFormat="1" applyFont="1" applyFill="1" applyBorder="1" applyAlignment="1">
      <alignment horizontal="center" vertical="center" wrapText="1"/>
    </xf>
    <xf numFmtId="40" fontId="19" fillId="0" borderId="15" xfId="1" applyNumberFormat="1" applyFont="1" applyFill="1" applyBorder="1" applyAlignment="1">
      <alignment horizontal="center" vertical="center" wrapText="1"/>
    </xf>
    <xf numFmtId="43" fontId="13" fillId="0" borderId="0" xfId="3" applyFont="1" applyBorder="1"/>
    <xf numFmtId="43" fontId="0" fillId="0" borderId="8" xfId="3" applyFont="1" applyBorder="1"/>
    <xf numFmtId="43" fontId="0" fillId="0" borderId="5" xfId="3" applyFont="1" applyBorder="1"/>
    <xf numFmtId="43" fontId="0" fillId="0" borderId="9" xfId="3" applyFont="1" applyBorder="1"/>
    <xf numFmtId="40" fontId="26" fillId="0" borderId="4" xfId="0" applyNumberFormat="1" applyFont="1" applyFill="1" applyBorder="1" applyAlignment="1">
      <alignment horizontal="right" vertical="top" wrapText="1"/>
    </xf>
    <xf numFmtId="40" fontId="19" fillId="0" borderId="8" xfId="1" applyNumberFormat="1" applyFont="1" applyFill="1" applyBorder="1" applyAlignment="1">
      <alignment horizontal="center" vertical="center" wrapText="1"/>
    </xf>
    <xf numFmtId="40" fontId="20" fillId="0" borderId="10" xfId="0" applyNumberFormat="1" applyFont="1" applyFill="1" applyBorder="1" applyAlignment="1">
      <alignment horizontal="right" vertical="top" wrapText="1"/>
    </xf>
    <xf numFmtId="40" fontId="27" fillId="0" borderId="0" xfId="0" applyNumberFormat="1" applyFont="1" applyBorder="1" applyAlignment="1">
      <alignment horizontal="left" vertical="top" wrapText="1"/>
    </xf>
    <xf numFmtId="14" fontId="20" fillId="0" borderId="0" xfId="0" applyNumberFormat="1" applyFont="1" applyBorder="1" applyAlignment="1">
      <alignment horizontal="center"/>
    </xf>
    <xf numFmtId="14" fontId="26" fillId="0" borderId="0" xfId="0" applyNumberFormat="1" applyFont="1" applyBorder="1" applyAlignment="1">
      <alignment horizontal="right" vertical="top" wrapText="1"/>
    </xf>
    <xf numFmtId="14" fontId="27" fillId="0" borderId="0" xfId="0" applyNumberFormat="1" applyFont="1" applyAlignment="1">
      <alignment horizontal="center" vertical="top" wrapText="1"/>
    </xf>
    <xf numFmtId="40" fontId="26" fillId="0" borderId="5" xfId="0" applyNumberFormat="1" applyFont="1" applyBorder="1" applyAlignment="1">
      <alignment horizontal="right" vertical="top" wrapText="1"/>
    </xf>
    <xf numFmtId="40" fontId="26" fillId="0" borderId="1" xfId="0" applyNumberFormat="1" applyFont="1" applyBorder="1" applyAlignment="1">
      <alignment horizontal="right" vertical="top" wrapText="1"/>
    </xf>
    <xf numFmtId="40" fontId="23" fillId="0" borderId="0" xfId="0" applyNumberFormat="1" applyFont="1" applyBorder="1" applyAlignment="1">
      <alignment vertical="top" wrapText="1"/>
    </xf>
    <xf numFmtId="40" fontId="29" fillId="5" borderId="6" xfId="0" applyNumberFormat="1" applyFont="1" applyFill="1" applyBorder="1" applyAlignment="1">
      <alignment horizontal="center" vertical="center" wrapText="1"/>
    </xf>
    <xf numFmtId="14" fontId="20" fillId="0" borderId="0" xfId="0" applyNumberFormat="1" applyFont="1" applyFill="1" applyBorder="1" applyAlignment="1">
      <alignment horizontal="center" vertical="top" wrapText="1"/>
    </xf>
    <xf numFmtId="14" fontId="20" fillId="0" borderId="0" xfId="0" applyNumberFormat="1" applyFont="1" applyBorder="1" applyAlignment="1">
      <alignment horizontal="center" vertical="top" wrapText="1"/>
    </xf>
    <xf numFmtId="40" fontId="20" fillId="0" borderId="0" xfId="0" applyNumberFormat="1" applyFont="1" applyBorder="1" applyAlignment="1">
      <alignment horizontal="center" vertical="top" wrapText="1"/>
    </xf>
    <xf numFmtId="14" fontId="20" fillId="2" borderId="0" xfId="0" applyNumberFormat="1" applyFont="1" applyFill="1" applyBorder="1" applyAlignment="1">
      <alignment horizontal="center" vertical="top" wrapText="1"/>
    </xf>
    <xf numFmtId="40" fontId="18" fillId="0" borderId="0" xfId="0" applyNumberFormat="1" applyFont="1" applyBorder="1" applyAlignment="1">
      <alignment horizontal="center" vertical="top" wrapText="1"/>
    </xf>
    <xf numFmtId="0" fontId="24" fillId="0" borderId="0" xfId="0" applyFont="1" applyBorder="1" applyAlignment="1">
      <alignment horizontal="center" vertical="top" wrapText="1"/>
    </xf>
    <xf numFmtId="40" fontId="17" fillId="0" borderId="0" xfId="0" applyNumberFormat="1" applyFont="1" applyBorder="1" applyAlignment="1">
      <alignment horizontal="center" vertical="top" wrapText="1"/>
    </xf>
    <xf numFmtId="40" fontId="24" fillId="0" borderId="0" xfId="0" applyNumberFormat="1" applyFont="1" applyBorder="1" applyAlignment="1">
      <alignment horizontal="center" vertical="top" wrapText="1"/>
    </xf>
    <xf numFmtId="40" fontId="27" fillId="2" borderId="0" xfId="0" applyNumberFormat="1" applyFont="1" applyFill="1" applyBorder="1" applyAlignment="1">
      <alignment horizontal="center" vertical="top" wrapText="1"/>
    </xf>
    <xf numFmtId="0" fontId="20" fillId="0" borderId="0" xfId="0" applyFont="1" applyBorder="1" applyAlignment="1">
      <alignment horizontal="center" vertical="center" wrapText="1"/>
    </xf>
    <xf numFmtId="0" fontId="20" fillId="0" borderId="0" xfId="0" applyFont="1" applyBorder="1" applyAlignment="1">
      <alignment horizontal="center" vertical="top" wrapText="1"/>
    </xf>
    <xf numFmtId="40" fontId="20" fillId="0" borderId="1" xfId="0" applyNumberFormat="1" applyFont="1" applyFill="1" applyBorder="1" applyAlignment="1">
      <alignment vertical="top" wrapText="1"/>
    </xf>
    <xf numFmtId="40" fontId="27" fillId="0" borderId="0" xfId="0" applyNumberFormat="1" applyFont="1" applyBorder="1" applyAlignment="1">
      <alignment horizontal="center" vertical="top" wrapText="1"/>
    </xf>
    <xf numFmtId="40" fontId="20" fillId="0" borderId="20" xfId="0" applyNumberFormat="1" applyFont="1" applyFill="1" applyBorder="1" applyAlignment="1">
      <alignment vertical="top" wrapText="1"/>
    </xf>
    <xf numFmtId="40" fontId="20" fillId="0" borderId="10" xfId="0" applyNumberFormat="1" applyFont="1" applyFill="1" applyBorder="1" applyAlignment="1">
      <alignment vertical="top" wrapText="1"/>
    </xf>
    <xf numFmtId="40" fontId="27" fillId="0" borderId="6" xfId="0" applyNumberFormat="1" applyFont="1" applyFill="1" applyBorder="1" applyAlignment="1">
      <alignment horizontal="right" vertical="center"/>
    </xf>
    <xf numFmtId="40" fontId="20" fillId="0" borderId="1" xfId="0" applyNumberFormat="1" applyFont="1" applyFill="1" applyBorder="1" applyAlignment="1">
      <alignment vertical="top"/>
    </xf>
    <xf numFmtId="40" fontId="20" fillId="0" borderId="0" xfId="0" applyNumberFormat="1" applyFont="1" applyBorder="1" applyAlignment="1">
      <alignment vertical="top"/>
    </xf>
    <xf numFmtId="40" fontId="20" fillId="0" borderId="5" xfId="0" applyNumberFormat="1" applyFont="1" applyBorder="1" applyAlignment="1">
      <alignment horizontal="right" vertical="top"/>
    </xf>
    <xf numFmtId="43" fontId="20" fillId="0" borderId="0" xfId="0" applyNumberFormat="1" applyFont="1" applyFill="1" applyBorder="1" applyAlignment="1">
      <alignment vertical="top"/>
    </xf>
    <xf numFmtId="40" fontId="20" fillId="0" borderId="1" xfId="0" applyNumberFormat="1" applyFont="1" applyBorder="1" applyAlignment="1">
      <alignment vertical="top"/>
    </xf>
    <xf numFmtId="43" fontId="20" fillId="0" borderId="0" xfId="0" applyNumberFormat="1" applyFont="1" applyBorder="1" applyAlignment="1">
      <alignment vertical="top"/>
    </xf>
    <xf numFmtId="40" fontId="27" fillId="0" borderId="0" xfId="0" applyNumberFormat="1" applyFont="1" applyBorder="1" applyAlignment="1">
      <alignment horizontal="right" vertical="top"/>
    </xf>
    <xf numFmtId="40" fontId="20" fillId="0" borderId="0" xfId="0" applyNumberFormat="1" applyFont="1" applyBorder="1" applyAlignment="1">
      <alignment horizontal="right" vertical="top"/>
    </xf>
    <xf numFmtId="40" fontId="20" fillId="0" borderId="1" xfId="0" applyNumberFormat="1" applyFont="1" applyBorder="1" applyAlignment="1">
      <alignment horizontal="right" vertical="top"/>
    </xf>
    <xf numFmtId="0" fontId="20" fillId="0" borderId="0" xfId="0" applyFont="1" applyBorder="1" applyAlignment="1">
      <alignment vertical="top"/>
    </xf>
    <xf numFmtId="40" fontId="26" fillId="0" borderId="20" xfId="0" applyNumberFormat="1" applyFont="1" applyFill="1" applyBorder="1" applyAlignment="1">
      <alignment horizontal="right" vertical="top" wrapText="1"/>
    </xf>
    <xf numFmtId="14" fontId="20" fillId="0" borderId="2" xfId="0" applyNumberFormat="1" applyFont="1" applyBorder="1" applyAlignment="1">
      <alignment vertical="top" wrapText="1"/>
    </xf>
    <xf numFmtId="14" fontId="20" fillId="0" borderId="2" xfId="0" applyNumberFormat="1" applyFont="1" applyFill="1" applyBorder="1" applyAlignment="1">
      <alignment vertical="top" wrapText="1"/>
    </xf>
    <xf numFmtId="14" fontId="26" fillId="0" borderId="2" xfId="0" applyNumberFormat="1" applyFont="1" applyBorder="1" applyAlignment="1">
      <alignment vertical="top" wrapText="1"/>
    </xf>
    <xf numFmtId="0" fontId="14" fillId="0" borderId="0" xfId="0" applyFont="1" applyAlignment="1">
      <alignment vertical="center"/>
    </xf>
    <xf numFmtId="14" fontId="22" fillId="0" borderId="0" xfId="0" applyNumberFormat="1" applyFont="1" applyBorder="1" applyAlignment="1">
      <alignment horizontal="right" vertical="top"/>
    </xf>
    <xf numFmtId="14" fontId="26" fillId="0" borderId="0" xfId="0" applyNumberFormat="1" applyFont="1" applyBorder="1" applyAlignment="1">
      <alignment horizontal="right" vertical="top"/>
    </xf>
    <xf numFmtId="40" fontId="27" fillId="5" borderId="6" xfId="0" applyNumberFormat="1" applyFont="1" applyFill="1" applyBorder="1" applyAlignment="1">
      <alignment horizontal="right" vertical="center"/>
    </xf>
    <xf numFmtId="40" fontId="20" fillId="5" borderId="1" xfId="0" applyNumberFormat="1" applyFont="1" applyFill="1" applyBorder="1" applyAlignment="1">
      <alignment vertical="top"/>
    </xf>
    <xf numFmtId="43" fontId="30" fillId="0" borderId="11" xfId="3" applyFont="1" applyBorder="1"/>
    <xf numFmtId="43" fontId="30" fillId="0" borderId="6" xfId="3" applyFont="1" applyBorder="1"/>
    <xf numFmtId="43" fontId="30" fillId="0" borderId="7" xfId="3" applyFont="1" applyBorder="1"/>
    <xf numFmtId="40" fontId="20" fillId="0" borderId="3" xfId="0" applyNumberFormat="1" applyFont="1" applyBorder="1" applyAlignment="1">
      <alignment horizontal="right" vertical="top" wrapText="1"/>
    </xf>
    <xf numFmtId="40" fontId="20" fillId="0" borderId="1" xfId="0" applyNumberFormat="1" applyFont="1" applyBorder="1" applyAlignment="1">
      <alignment horizontal="right" vertical="top" wrapText="1"/>
    </xf>
    <xf numFmtId="40" fontId="20" fillId="0" borderId="10" xfId="0" applyNumberFormat="1" applyFont="1" applyBorder="1" applyAlignment="1">
      <alignment horizontal="right" vertical="top" wrapText="1"/>
    </xf>
    <xf numFmtId="43" fontId="31" fillId="0" borderId="0" xfId="3" applyFont="1"/>
    <xf numFmtId="43" fontId="31" fillId="0" borderId="11" xfId="3" applyFont="1" applyBorder="1"/>
    <xf numFmtId="43" fontId="31" fillId="0" borderId="6" xfId="3" applyFont="1" applyBorder="1"/>
    <xf numFmtId="43" fontId="31" fillId="0" borderId="7" xfId="3" applyFont="1" applyBorder="1"/>
    <xf numFmtId="43" fontId="31" fillId="0" borderId="22" xfId="3" applyFont="1" applyBorder="1"/>
    <xf numFmtId="43" fontId="31" fillId="0" borderId="23" xfId="3" applyFont="1" applyBorder="1"/>
    <xf numFmtId="43" fontId="31" fillId="0" borderId="21" xfId="3" applyFont="1" applyBorder="1"/>
    <xf numFmtId="43" fontId="32" fillId="0" borderId="0" xfId="3" applyFont="1"/>
    <xf numFmtId="43" fontId="32" fillId="0" borderId="11" xfId="3" applyFont="1" applyBorder="1"/>
    <xf numFmtId="43" fontId="32" fillId="0" borderId="22" xfId="3" applyFont="1" applyBorder="1"/>
    <xf numFmtId="43" fontId="32" fillId="0" borderId="6" xfId="3" applyFont="1" applyBorder="1"/>
    <xf numFmtId="43" fontId="32" fillId="0" borderId="23" xfId="3" applyFont="1" applyBorder="1"/>
    <xf numFmtId="43" fontId="32" fillId="0" borderId="7" xfId="3" applyFont="1" applyBorder="1"/>
    <xf numFmtId="43" fontId="32" fillId="0" borderId="21" xfId="3" applyFont="1" applyBorder="1"/>
    <xf numFmtId="43" fontId="33" fillId="0" borderId="0" xfId="3" applyFont="1"/>
    <xf numFmtId="43" fontId="33" fillId="0" borderId="22" xfId="3" applyFont="1" applyBorder="1"/>
    <xf numFmtId="43" fontId="33" fillId="0" borderId="23" xfId="3" applyFont="1" applyBorder="1"/>
    <xf numFmtId="43" fontId="33" fillId="0" borderId="21" xfId="3" applyFont="1" applyBorder="1"/>
    <xf numFmtId="40" fontId="34" fillId="0" borderId="0" xfId="0" applyNumberFormat="1" applyFont="1" applyAlignment="1">
      <alignment vertical="top" wrapText="1"/>
    </xf>
    <xf numFmtId="40" fontId="34" fillId="0" borderId="0" xfId="0" applyNumberFormat="1" applyFont="1" applyAlignment="1">
      <alignment horizontal="center" vertical="top" wrapText="1"/>
    </xf>
    <xf numFmtId="14" fontId="34" fillId="0" borderId="0" xfId="0" applyNumberFormat="1" applyFont="1" applyAlignment="1">
      <alignment horizontal="center" vertical="top" wrapText="1"/>
    </xf>
    <xf numFmtId="14" fontId="34" fillId="0" borderId="0" xfId="0" applyNumberFormat="1" applyFont="1" applyAlignment="1">
      <alignment vertical="top" wrapText="1"/>
    </xf>
    <xf numFmtId="43" fontId="34" fillId="0" borderId="0" xfId="3" applyFont="1" applyAlignment="1">
      <alignment vertical="top"/>
    </xf>
    <xf numFmtId="43" fontId="34" fillId="0" borderId="0" xfId="3" applyFont="1" applyAlignment="1">
      <alignment horizontal="right" vertical="top"/>
    </xf>
    <xf numFmtId="40" fontId="34" fillId="0" borderId="0" xfId="0" applyNumberFormat="1" applyFont="1" applyAlignment="1">
      <alignment vertical="top"/>
    </xf>
    <xf numFmtId="43" fontId="0" fillId="0" borderId="22" xfId="3" applyFont="1" applyBorder="1"/>
    <xf numFmtId="43" fontId="0" fillId="0" borderId="23" xfId="3" applyFont="1" applyBorder="1"/>
    <xf numFmtId="43" fontId="0" fillId="0" borderId="21" xfId="3" applyFont="1" applyBorder="1"/>
    <xf numFmtId="0" fontId="0" fillId="0" borderId="0" xfId="0" applyAlignment="1">
      <alignment horizontal="left" vertical="top" wrapText="1"/>
    </xf>
    <xf numFmtId="14" fontId="35" fillId="0" borderId="0" xfId="0" applyNumberFormat="1" applyFont="1" applyBorder="1" applyAlignment="1">
      <alignment vertical="top" wrapText="1"/>
    </xf>
    <xf numFmtId="0" fontId="35" fillId="0" borderId="0" xfId="0" applyFont="1" applyBorder="1" applyAlignment="1">
      <alignment vertical="top" wrapText="1"/>
    </xf>
    <xf numFmtId="40" fontId="36" fillId="0" borderId="0" xfId="0" applyNumberFormat="1" applyFont="1" applyBorder="1" applyAlignment="1">
      <alignment horizontal="left" vertical="top" wrapText="1"/>
    </xf>
    <xf numFmtId="40" fontId="36" fillId="0" borderId="0" xfId="0" applyNumberFormat="1" applyFont="1" applyBorder="1" applyAlignment="1">
      <alignment horizontal="center" vertical="top" wrapText="1"/>
    </xf>
    <xf numFmtId="14" fontId="36" fillId="0" borderId="0" xfId="0" applyNumberFormat="1" applyFont="1" applyAlignment="1">
      <alignment horizontal="center" vertical="top" wrapText="1"/>
    </xf>
    <xf numFmtId="40" fontId="36" fillId="0" borderId="0" xfId="0" applyNumberFormat="1" applyFont="1" applyBorder="1" applyAlignment="1">
      <alignment horizontal="right" vertical="top"/>
    </xf>
    <xf numFmtId="40" fontId="35" fillId="0" borderId="0" xfId="0" applyNumberFormat="1" applyFont="1" applyBorder="1" applyAlignment="1">
      <alignment horizontal="right" vertical="top"/>
    </xf>
    <xf numFmtId="40" fontId="27" fillId="0" borderId="0" xfId="0" applyNumberFormat="1" applyFont="1" applyAlignment="1">
      <alignment vertical="top" wrapText="1"/>
    </xf>
    <xf numFmtId="43" fontId="37" fillId="0" borderId="0" xfId="3" applyFont="1"/>
    <xf numFmtId="43" fontId="37" fillId="0" borderId="22" xfId="3" applyFont="1" applyBorder="1"/>
    <xf numFmtId="43" fontId="37" fillId="0" borderId="23" xfId="3" applyFont="1" applyBorder="1"/>
    <xf numFmtId="43" fontId="37" fillId="0" borderId="21" xfId="3" applyFont="1" applyBorder="1"/>
    <xf numFmtId="14" fontId="39" fillId="0" borderId="0" xfId="0" applyNumberFormat="1" applyFont="1" applyAlignment="1">
      <alignment vertical="top" wrapText="1"/>
    </xf>
    <xf numFmtId="14" fontId="39" fillId="0" borderId="0" xfId="0" applyNumberFormat="1" applyFont="1" applyBorder="1" applyAlignment="1">
      <alignment vertical="top" wrapText="1"/>
    </xf>
    <xf numFmtId="0" fontId="39" fillId="0" borderId="0" xfId="0" applyFont="1" applyBorder="1" applyAlignment="1">
      <alignment vertical="top" wrapText="1"/>
    </xf>
    <xf numFmtId="40" fontId="38" fillId="0" borderId="0" xfId="0" applyNumberFormat="1" applyFont="1" applyAlignment="1">
      <alignment horizontal="left" vertical="top" wrapText="1"/>
    </xf>
    <xf numFmtId="40" fontId="38" fillId="0" borderId="0" xfId="0" applyNumberFormat="1" applyFont="1" applyAlignment="1">
      <alignment horizontal="center" vertical="top" wrapText="1"/>
    </xf>
    <xf numFmtId="14" fontId="38" fillId="0" borderId="0" xfId="0" applyNumberFormat="1" applyFont="1" applyAlignment="1">
      <alignment horizontal="center" vertical="top" wrapText="1"/>
    </xf>
    <xf numFmtId="40" fontId="38" fillId="0" borderId="0" xfId="0" applyNumberFormat="1" applyFont="1" applyAlignment="1">
      <alignment horizontal="right" vertical="top"/>
    </xf>
    <xf numFmtId="40" fontId="39" fillId="0" borderId="0" xfId="0" applyNumberFormat="1" applyFont="1" applyAlignment="1">
      <alignment horizontal="right" vertical="top"/>
    </xf>
    <xf numFmtId="43" fontId="40" fillId="0" borderId="0" xfId="3" applyFont="1"/>
    <xf numFmtId="43" fontId="40" fillId="0" borderId="22" xfId="3" applyFont="1" applyBorder="1"/>
    <xf numFmtId="43" fontId="40" fillId="0" borderId="23" xfId="3" applyFont="1" applyBorder="1"/>
    <xf numFmtId="43" fontId="40" fillId="0" borderId="21" xfId="3" applyFont="1" applyBorder="1"/>
    <xf numFmtId="43" fontId="13" fillId="0" borderId="22" xfId="3" applyFont="1" applyBorder="1"/>
    <xf numFmtId="43" fontId="13" fillId="0" borderId="23" xfId="3" applyFont="1" applyBorder="1"/>
    <xf numFmtId="43" fontId="13" fillId="0" borderId="21" xfId="3" applyFont="1" applyBorder="1"/>
    <xf numFmtId="43" fontId="0" fillId="0" borderId="11" xfId="3" applyFont="1" applyBorder="1"/>
    <xf numFmtId="43" fontId="33" fillId="0" borderId="10" xfId="3" applyFont="1" applyBorder="1"/>
    <xf numFmtId="43" fontId="0" fillId="0" borderId="6" xfId="3" applyFont="1" applyBorder="1"/>
    <xf numFmtId="43" fontId="33" fillId="0" borderId="1" xfId="3" applyFont="1" applyBorder="1"/>
    <xf numFmtId="43" fontId="0" fillId="0" borderId="2" xfId="3" applyFont="1" applyBorder="1"/>
    <xf numFmtId="43" fontId="0" fillId="0" borderId="7" xfId="3" applyFont="1" applyBorder="1"/>
    <xf numFmtId="43" fontId="33" fillId="0" borderId="2" xfId="3" applyFont="1" applyBorder="1"/>
    <xf numFmtId="14" fontId="20" fillId="0" borderId="0" xfId="0" applyNumberFormat="1" applyFont="1" applyAlignment="1">
      <alignment vertical="top" wrapText="1"/>
    </xf>
    <xf numFmtId="40" fontId="27" fillId="0" borderId="0" xfId="0" applyNumberFormat="1" applyFont="1" applyAlignment="1">
      <alignment horizontal="left" vertical="top" wrapText="1"/>
    </xf>
    <xf numFmtId="40" fontId="27" fillId="0" borderId="0" xfId="0" applyNumberFormat="1" applyFont="1" applyAlignment="1">
      <alignment horizontal="center" vertical="top" wrapText="1"/>
    </xf>
    <xf numFmtId="40" fontId="27" fillId="0" borderId="0" xfId="0" applyNumberFormat="1" applyFont="1" applyAlignment="1">
      <alignment horizontal="right" vertical="top"/>
    </xf>
    <xf numFmtId="40" fontId="20" fillId="0" borderId="0" xfId="0" applyNumberFormat="1" applyFont="1" applyAlignment="1">
      <alignment horizontal="right" vertical="top"/>
    </xf>
    <xf numFmtId="14" fontId="41" fillId="0" borderId="0" xfId="0" applyNumberFormat="1" applyFont="1" applyAlignment="1">
      <alignment vertical="top" wrapText="1"/>
    </xf>
    <xf numFmtId="40" fontId="42" fillId="0" borderId="0" xfId="0" applyNumberFormat="1" applyFont="1" applyAlignment="1">
      <alignment horizontal="left" vertical="top" wrapText="1"/>
    </xf>
    <xf numFmtId="40" fontId="42" fillId="0" borderId="0" xfId="0" applyNumberFormat="1" applyFont="1" applyAlignment="1">
      <alignment horizontal="center" vertical="top" wrapText="1"/>
    </xf>
    <xf numFmtId="14" fontId="42" fillId="0" borderId="0" xfId="0" applyNumberFormat="1" applyFont="1" applyAlignment="1">
      <alignment horizontal="center" vertical="top" wrapText="1"/>
    </xf>
    <xf numFmtId="40" fontId="42" fillId="0" borderId="0" xfId="0" applyNumberFormat="1" applyFont="1" applyAlignment="1">
      <alignment horizontal="right" vertical="top"/>
    </xf>
    <xf numFmtId="40" fontId="41" fillId="0" borderId="0" xfId="0" applyNumberFormat="1" applyFont="1" applyAlignment="1">
      <alignment horizontal="right" vertical="top"/>
    </xf>
    <xf numFmtId="43" fontId="43" fillId="0" borderId="0" xfId="3" applyFont="1"/>
    <xf numFmtId="43" fontId="43" fillId="0" borderId="22" xfId="3" applyFont="1" applyBorder="1"/>
    <xf numFmtId="43" fontId="43" fillId="0" borderId="23" xfId="3" applyFont="1" applyBorder="1"/>
    <xf numFmtId="43" fontId="43" fillId="0" borderId="21" xfId="3" applyFont="1" applyBorder="1"/>
    <xf numFmtId="14" fontId="44" fillId="0" borderId="0" xfId="0" applyNumberFormat="1" applyFont="1" applyAlignment="1">
      <alignment vertical="top" wrapText="1"/>
    </xf>
    <xf numFmtId="40" fontId="45" fillId="0" borderId="0" xfId="0" applyNumberFormat="1" applyFont="1" applyAlignment="1">
      <alignment horizontal="left" vertical="top" wrapText="1"/>
    </xf>
    <xf numFmtId="40" fontId="45" fillId="0" borderId="0" xfId="0" applyNumberFormat="1" applyFont="1" applyAlignment="1">
      <alignment horizontal="center" vertical="top" wrapText="1"/>
    </xf>
    <xf numFmtId="14" fontId="45" fillId="0" borderId="0" xfId="0" applyNumberFormat="1" applyFont="1" applyAlignment="1">
      <alignment horizontal="center" vertical="top" wrapText="1"/>
    </xf>
    <xf numFmtId="40" fontId="45" fillId="0" borderId="0" xfId="0" applyNumberFormat="1" applyFont="1" applyAlignment="1">
      <alignment horizontal="right" vertical="top"/>
    </xf>
    <xf numFmtId="40" fontId="44" fillId="0" borderId="0" xfId="0" applyNumberFormat="1" applyFont="1" applyAlignment="1">
      <alignment horizontal="right" vertical="top"/>
    </xf>
    <xf numFmtId="40" fontId="23" fillId="0" borderId="12" xfId="0" applyNumberFormat="1" applyFont="1" applyBorder="1" applyAlignment="1">
      <alignment horizontal="center" vertical="top" wrapText="1"/>
    </xf>
    <xf numFmtId="0" fontId="5" fillId="0" borderId="0" xfId="0" applyFont="1" applyAlignment="1">
      <alignment horizontal="left" vertical="top" wrapText="1"/>
    </xf>
    <xf numFmtId="0" fontId="28" fillId="0" borderId="0" xfId="0" applyFont="1" applyAlignment="1">
      <alignment horizontal="left" vertical="top" wrapText="1"/>
    </xf>
    <xf numFmtId="0" fontId="14" fillId="0" borderId="0" xfId="0" applyFont="1" applyAlignment="1">
      <alignment horizontal="left" vertical="top" wrapText="1"/>
    </xf>
    <xf numFmtId="40" fontId="16" fillId="0" borderId="13" xfId="0" applyNumberFormat="1" applyFont="1" applyBorder="1" applyAlignment="1">
      <alignment horizontal="center" vertical="center" wrapText="1"/>
    </xf>
    <xf numFmtId="0" fontId="16" fillId="0" borderId="0" xfId="0" applyFont="1" applyAlignment="1">
      <alignment horizontal="left" vertical="top" wrapText="1"/>
    </xf>
    <xf numFmtId="14" fontId="16" fillId="0" borderId="7" xfId="0" applyNumberFormat="1" applyFont="1" applyBorder="1" applyAlignment="1">
      <alignment horizontal="center" vertical="top" wrapText="1"/>
    </xf>
    <xf numFmtId="14" fontId="16" fillId="0" borderId="13"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0" fontId="29" fillId="4" borderId="17" xfId="1" applyNumberFormat="1" applyFont="1" applyFill="1" applyBorder="1" applyAlignment="1">
      <alignment horizontal="center" vertical="center" wrapText="1"/>
    </xf>
    <xf numFmtId="40" fontId="29" fillId="4" borderId="18" xfId="1" applyNumberFormat="1" applyFont="1" applyFill="1" applyBorder="1" applyAlignment="1">
      <alignment horizontal="center" vertical="center" wrapText="1"/>
    </xf>
    <xf numFmtId="40" fontId="29" fillId="4" borderId="19" xfId="1" applyNumberFormat="1" applyFont="1" applyFill="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05">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11"/>
        <color theme="1"/>
        <name val="Calibri"/>
        <scheme val="minor"/>
      </font>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numFmt numFmtId="164" formatCode="mm/d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yy"/>
      <alignment horizontal="center" vertical="top" textRotation="0" wrapText="1" indent="0" justifyLastLine="0" shrinkToFit="0" readingOrder="0"/>
    </dxf>
    <dxf>
      <font>
        <strike val="0"/>
        <outline val="0"/>
        <shadow val="0"/>
        <u val="none"/>
        <vertAlign val="baseline"/>
        <sz val="9"/>
        <name val="Arial Unicode MS"/>
        <scheme val="none"/>
      </font>
    </dxf>
    <dxf>
      <font>
        <strike val="0"/>
        <outline val="0"/>
        <shadow val="0"/>
        <u val="none"/>
        <vertAlign val="baseline"/>
        <sz val="9"/>
        <name val="Arial Unicode MS"/>
        <scheme val="none"/>
      </font>
      <numFmt numFmtId="8" formatCode="#,##0.00_);[Red]\(#,##0.00\)"/>
    </dxf>
    <dxf>
      <font>
        <strike val="0"/>
        <outline val="0"/>
        <shadow val="0"/>
        <u val="none"/>
        <vertAlign val="baseline"/>
        <sz val="9"/>
        <name val="Arial Unicode MS"/>
        <scheme val="none"/>
      </font>
      <numFmt numFmtId="8" formatCode="#,##0.00_);[Red]\(#,##0.00\)"/>
    </dxf>
    <dxf>
      <font>
        <strike val="0"/>
        <outline val="0"/>
        <shadow val="0"/>
        <u val="none"/>
        <vertAlign val="baseline"/>
        <sz val="9"/>
        <name val="Arial Unicode MS"/>
        <scheme val="none"/>
      </font>
      <numFmt numFmtId="8" formatCode="#,##0.00_);[Red]\(#,##0.0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8" formatCode="#,##0.00_);[Red]\(#,##0.00\)"/>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FFC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04"/>
      <tableStyleElement type="firstRowStripe" dxfId="103"/>
    </tableStyle>
    <tableStyle name="Table Style 2" pivot="0" count="1">
      <tableStyleElement type="firstRowStripe" dxfId="102"/>
    </tableStyle>
    <tableStyle name="Table Style 3" pivot="0" count="1">
      <tableStyleElement type="firstRowStripe" dxfId="101"/>
    </tableStyle>
    <tableStyle name="Table Style 4" pivot="0" count="3">
      <tableStyleElement type="wholeTable" dxfId="100"/>
      <tableStyleElement type="headerRow" dxfId="99"/>
      <tableStyleElement type="firstRowStripe" dxfId="98"/>
    </tableStyle>
  </tableStyles>
  <colors>
    <mruColors>
      <color rgb="FFFFFFCC"/>
      <color rgb="FFDBB7FF"/>
      <color rgb="FFD9D9D9"/>
      <color rgb="FFC5D9F1"/>
      <color rgb="FFFABF8F"/>
      <color rgb="FFF2DCDB"/>
      <color rgb="FFACEAAC"/>
      <color rgb="FFC9FFF5"/>
      <color rgb="FFFFCCFF"/>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2.xml><?xml version="1.0" encoding="utf-8"?>
<queryTable xmlns="http://schemas.openxmlformats.org/spreadsheetml/2006/main" name="Query from MS Access Database_1" growShrinkType="insertClear" adjustColumnWidth="0" connectionId="4"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43"/>
      <queryTableField id="24" name="To" tableColumnId="44"/>
      <queryTableField id="25" name="Project8" tableColumnId="45"/>
      <queryTableField id="26" name="Notes" tableColumnId="46"/>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S12" totalsRowShown="0" headerRowDxfId="97" dataDxfId="95" headerRowBorderDxfId="96" tableBorderDxfId="94" totalsRowBorderDxfId="93" headerRowCellStyle="Currency">
  <autoFilter ref="M3:S12"/>
  <tableColumns count="7">
    <tableColumn id="1" name="Description" dataDxfId="92"/>
    <tableColumn id="4" name="HSIP/3" dataDxfId="91"/>
    <tableColumn id="2" name="PL" dataDxfId="90"/>
    <tableColumn id="5" name="SPR /4" dataDxfId="89"/>
    <tableColumn id="6" name="STP other" dataDxfId="88"/>
    <tableColumn id="7" name="Total" dataDxfId="87"/>
    <tableColumn id="8" name="FFY OBLIGATION AUTHORITY /2" dataDxfId="86"/>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S40" tableType="queryTable" totalsRowShown="0" headerRowDxfId="85" dataDxfId="84" tableBorderDxfId="83">
  <autoFilter ref="A15:S40"/>
  <tableColumns count="19">
    <tableColumn id="1" uniqueName="1" name="ADOT#" queryTableFieldId="1" dataDxfId="54"/>
    <tableColumn id="2" uniqueName="2" name="TIP#" queryTableFieldId="2" dataDxfId="53"/>
    <tableColumn id="3" uniqueName="3" name="Sponsor" queryTableFieldId="3" dataDxfId="52"/>
    <tableColumn id="4" uniqueName="4" name="Action/15" queryTableFieldId="4" dataDxfId="51"/>
    <tableColumn id="5" uniqueName="5" name="Location" queryTableFieldId="5" dataDxfId="50"/>
    <tableColumn id="17" uniqueName="17" name="FED #" queryTableFieldId="17" dataDxfId="49">
      <calculatedColumnFormula>CONCATENATE(Table_Query_from_MS_Access_Database8[[#This Row],[RTE]],Table_Query_from_MS_Access_Database8[[#This Row],[SEC]],Table_Query_from_MS_Access_Database8[[#This Row],[SEQ]])</calculatedColumnFormula>
    </tableColumn>
    <tableColumn id="6" uniqueName="6" name="RTE" queryTableFieldId="6" dataDxfId="48"/>
    <tableColumn id="7" uniqueName="7" name="SEC" queryTableFieldId="7" dataDxfId="47"/>
    <tableColumn id="8" uniqueName="8" name="SEQ" queryTableFieldId="8" dataDxfId="46"/>
    <tableColumn id="9" uniqueName="9" name="PB Expected" queryTableFieldId="9" dataDxfId="45"/>
    <tableColumn id="10" uniqueName="10" name="PB Received" queryTableFieldId="10" dataDxfId="44"/>
    <tableColumn id="11" uniqueName="11" name="PF Transmitted" queryTableFieldId="11" dataDxfId="43"/>
    <tableColumn id="12" uniqueName="12" name="Finance Authorization" queryTableFieldId="12" dataDxfId="42"/>
    <tableColumn id="13" uniqueName="13" name="HSIP" queryTableFieldId="13" dataDxfId="41"/>
    <tableColumn id="14" uniqueName="14" name="PL" queryTableFieldId="14" dataDxfId="40"/>
    <tableColumn id="15" uniqueName="15" name="SPR" queryTableFieldId="15" dataDxfId="39"/>
    <tableColumn id="16" uniqueName="16" name="STP OTHER" queryTableFieldId="16" dataDxfId="38"/>
    <tableColumn id="18" uniqueName="18" name="TOTAL OF AMOUNT" queryTableFieldId="18" dataDxfId="37">
      <calculatedColumnFormula>+Table_Query_from_MS_Access_Database8[[#This Row],[HSIP]]+Table_Query_from_MS_Access_Database8[[#This Row],[PL]]+Table_Query_from_MS_Access_Database8[[#This Row],[SPR]]+Table_Query_from_MS_Access_Database8[[#This Row],[STP OTHER]]</calculatedColumnFormula>
    </tableColumn>
    <tableColumn id="19" uniqueName="19" name="DECLINING BALANCE OA" queryTableFieldId="19" dataDxfId="0">
      <calculatedColumnFormula>S12-Table_Query_from_MS_Access_Database8[TOTAL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45:S46" tableType="queryTable" totalsRowShown="0" headerRowDxfId="82" dataDxfId="81">
  <autoFilter ref="A45:S46"/>
  <sortState ref="A46:S46">
    <sortCondition ref="J21:J28"/>
  </sortState>
  <tableColumns count="19">
    <tableColumn id="1" uniqueName="1" name="ADOT#" queryTableFieldId="1" dataDxfId="73"/>
    <tableColumn id="2" uniqueName="2" name="TIP#" queryTableFieldId="2" dataDxfId="72"/>
    <tableColumn id="3" uniqueName="3" name="Sponsor" queryTableFieldId="3" dataDxfId="71"/>
    <tableColumn id="4" uniqueName="4" name="Action/15" queryTableFieldId="4" dataDxfId="70"/>
    <tableColumn id="5" uniqueName="5" name="Location" queryTableFieldId="5" dataDxfId="69"/>
    <tableColumn id="17" uniqueName="17" name="FED #" queryTableFieldId="17" dataDxfId="68">
      <calculatedColumnFormula>CONCATENATE(Table_Query_from_MS_Access_Database_1[[#This Row],[RTE]],Table_Query_from_MS_Access_Database_1[[#This Row],[SEC]],Table_Query_from_MS_Access_Database_1[[#This Row],[SEQ]])</calculatedColumnFormula>
    </tableColumn>
    <tableColumn id="6" uniqueName="6" name="RTE" queryTableFieldId="6" dataDxfId="67"/>
    <tableColumn id="7" uniqueName="7" name="SEC" queryTableFieldId="7" dataDxfId="66"/>
    <tableColumn id="8" uniqueName="8" name="SEQ" queryTableFieldId="8" dataDxfId="65"/>
    <tableColumn id="9" uniqueName="9" name="PB Expected" queryTableFieldId="9" dataDxfId="64"/>
    <tableColumn id="10" uniqueName="10" name="PB Received" queryTableFieldId="10" dataDxfId="63"/>
    <tableColumn id="11" uniqueName="11" name="PF Transmitted" queryTableFieldId="11" dataDxfId="62"/>
    <tableColumn id="12" uniqueName="12" name="Finance Authorization" queryTableFieldId="12" dataDxfId="61"/>
    <tableColumn id="13" uniqueName="13" name="HSIP" queryTableFieldId="13" dataDxfId="60" dataCellStyle="Comma"/>
    <tableColumn id="14" uniqueName="14" name="PL" queryTableFieldId="14" dataDxfId="59" dataCellStyle="Comma"/>
    <tableColumn id="15" uniqueName="15" name="SPR" queryTableFieldId="15" dataDxfId="58" dataCellStyle="Comma"/>
    <tableColumn id="16" uniqueName="16" name="STP OTHER" queryTableFieldId="16" dataDxfId="57" dataCellStyle="Comma"/>
    <tableColumn id="18" uniqueName="18" name="TOTAL OF AMOUNT" queryTableFieldId="18" dataDxfId="56" dataCellStyle="Comma">
      <calculatedColumnFormula>SUM(Table_Query_from_MS_Access_Database_1[[HSIP]:[STP OTHER]])</calculatedColumnFormula>
    </tableColumn>
    <tableColumn id="19" uniqueName="19" name="EXPECTED DECLINING BALANCE OA" queryTableFieldId="19" dataDxfId="55">
      <calculatedColumnFormula>S40-Table_Query_from_MS_Access_Database_1[TOTAL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35" tableType="queryTable" totalsRowShown="0" headerRowDxfId="80" headerRowBorderDxfId="79" tableBorderDxfId="78" totalsRowBorderDxfId="77" headerRowCellStyle="Comma" dataCellStyle="Comma">
  <autoFilter ref="A11:R35"/>
  <sortState ref="A12:R35">
    <sortCondition ref="A11:A33"/>
  </sortState>
  <tableColumns count="18">
    <tableColumn id="1" uniqueName="1" name="Transaction Year" queryTableFieldId="1" dataDxfId="18" dataCellStyle="Comma"/>
    <tableColumn id="2" uniqueName="2" name="Transaction Type" queryTableFieldId="2" dataDxfId="17" dataCellStyle="Comma"/>
    <tableColumn id="3" uniqueName="3" name="Number" queryTableFieldId="3" dataDxfId="16" dataCellStyle="Comma"/>
    <tableColumn id="6" uniqueName="6" name="Repayment Year" queryTableFieldId="6" dataDxfId="15" dataCellStyle="Comma"/>
    <tableColumn id="9" uniqueName="9" name="Total" queryTableFieldId="9" dataDxfId="14" dataCellStyle="Comma"/>
    <tableColumn id="10" uniqueName="10" name="CMAQ" queryTableFieldId="10" dataDxfId="13" dataCellStyle="Comma"/>
    <tableColumn id="11" uniqueName="11" name="CMAQ 2_5" queryTableFieldId="11" dataDxfId="12" dataCellStyle="Comma"/>
    <tableColumn id="12" uniqueName="12" name="HSIP" queryTableFieldId="12" dataDxfId="11" dataCellStyle="Comma"/>
    <tableColumn id="13" uniqueName="13" name="PL" queryTableFieldId="13" dataDxfId="10" dataCellStyle="Comma"/>
    <tableColumn id="14" uniqueName="14" name="SPR" queryTableFieldId="14" dataDxfId="9" dataCellStyle="Comma"/>
    <tableColumn id="15" uniqueName="15" name="STP other" queryTableFieldId="15" dataDxfId="8" dataCellStyle="Comma"/>
    <tableColumn id="16" uniqueName="16" name="STP over 200K" queryTableFieldId="16" dataDxfId="7" dataCellStyle="Comma"/>
    <tableColumn id="17" uniqueName="17" name="TA other" queryTableFieldId="17" dataDxfId="6" dataCellStyle="Comma"/>
    <tableColumn id="18" uniqueName="18" name="TA over 200K" queryTableFieldId="18" dataDxfId="5" dataCellStyle="Comma"/>
    <tableColumn id="4" uniqueName="4" name="From" queryTableFieldId="19" dataDxfId="4" dataCellStyle="Comma"/>
    <tableColumn id="5" uniqueName="5" name="To" queryTableFieldId="20" dataDxfId="3" dataCellStyle="Comma"/>
    <tableColumn id="7" uniqueName="7" name="Project8" queryTableFieldId="21" dataDxfId="2" dataCellStyle="Comma"/>
    <tableColumn id="8" uniqueName="8" name="Notes" queryTableFieldId="22"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38:R61" tableType="queryTable" totalsRowShown="0" headerRowDxfId="76" dataDxfId="75" tableBorderDxfId="74" headerRowCellStyle="Comma" dataCellStyle="Comma">
  <autoFilter ref="A38:R61"/>
  <tableColumns count="18">
    <tableColumn id="1" uniqueName="1" name="Transaction Year" queryTableFieldId="1" dataDxfId="36" dataCellStyle="Comma"/>
    <tableColumn id="2" uniqueName="2" name="Transaction Type" queryTableFieldId="2" dataDxfId="35" dataCellStyle="Comma"/>
    <tableColumn id="3" uniqueName="3" name="Number" queryTableFieldId="3" dataDxfId="34" dataCellStyle="Comma"/>
    <tableColumn id="6" uniqueName="6" name="Repayment Year" queryTableFieldId="6" dataDxfId="33" dataCellStyle="Comma"/>
    <tableColumn id="9" uniqueName="9" name="Total" queryTableFieldId="9" dataDxfId="32" dataCellStyle="Comma"/>
    <tableColumn id="10" uniqueName="10" name="CMAQ" queryTableFieldId="10" dataDxfId="31" dataCellStyle="Comma"/>
    <tableColumn id="11" uniqueName="11" name="CMAQ 2_5" queryTableFieldId="11" dataDxfId="30" dataCellStyle="Comma"/>
    <tableColumn id="12" uniqueName="12" name="HSIP" queryTableFieldId="12" dataDxfId="29" dataCellStyle="Comma"/>
    <tableColumn id="13" uniqueName="13" name="PL" queryTableFieldId="13" dataDxfId="28" dataCellStyle="Comma"/>
    <tableColumn id="14" uniqueName="14" name="SPR" queryTableFieldId="14" dataDxfId="27" dataCellStyle="Comma"/>
    <tableColumn id="15" uniqueName="15" name="STP other" queryTableFieldId="15" dataDxfId="26" dataCellStyle="Comma"/>
    <tableColumn id="16" uniqueName="16" name="STP over 200K" queryTableFieldId="16" dataDxfId="25" dataCellStyle="Comma"/>
    <tableColumn id="17" uniqueName="17" name="TA other" queryTableFieldId="17" dataDxfId="24" dataCellStyle="Comma"/>
    <tableColumn id="18" uniqueName="18" name="TA over 200K" queryTableFieldId="18" dataDxfId="23" dataCellStyle="Comma"/>
    <tableColumn id="43" uniqueName="43" name="From" queryTableFieldId="23" dataDxfId="22" dataCellStyle="Comma"/>
    <tableColumn id="44" uniqueName="44" name="To" queryTableFieldId="24" dataDxfId="21" dataCellStyle="Comma"/>
    <tableColumn id="45" uniqueName="45" name="Project8" queryTableFieldId="25" dataDxfId="20" dataCellStyle="Comma"/>
    <tableColumn id="46" uniqueName="46" name="Notes" queryTableFieldId="26" dataDxfId="19"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57"/>
  <sheetViews>
    <sheetView tabSelected="1" zoomScale="90" zoomScaleNormal="90" zoomScaleSheetLayoutView="75" workbookViewId="0">
      <selection sqref="A1:F1"/>
    </sheetView>
  </sheetViews>
  <sheetFormatPr defaultColWidth="17" defaultRowHeight="15.6" x14ac:dyDescent="0.3"/>
  <cols>
    <col min="1" max="1" width="12.6640625" style="32" customWidth="1"/>
    <col min="2" max="4" width="15.6640625" style="32" customWidth="1"/>
    <col min="5" max="5" width="40.6640625" style="32" customWidth="1"/>
    <col min="6" max="6" width="11.6640625" style="32" customWidth="1"/>
    <col min="7" max="7" width="14.109375" style="32" hidden="1" customWidth="1"/>
    <col min="8" max="9" width="14.44140625" style="32" hidden="1" customWidth="1"/>
    <col min="10" max="12" width="15.6640625" style="32" customWidth="1"/>
    <col min="13" max="13" width="23.6640625" style="32" customWidth="1"/>
    <col min="14" max="18" width="14.6640625" style="35" customWidth="1"/>
    <col min="19" max="19" width="18.6640625" style="35" customWidth="1"/>
    <col min="20" max="20" width="4.33203125" style="35" bestFit="1" customWidth="1"/>
    <col min="21" max="16384" width="17" style="32"/>
  </cols>
  <sheetData>
    <row r="1" spans="1:20" ht="24" thickBot="1" x14ac:dyDescent="0.35">
      <c r="A1" s="214" t="s">
        <v>106</v>
      </c>
      <c r="B1" s="214"/>
      <c r="C1" s="214"/>
      <c r="D1" s="214"/>
      <c r="E1" s="214"/>
      <c r="F1" s="214"/>
      <c r="J1" s="33"/>
      <c r="K1" s="34"/>
      <c r="L1" s="33"/>
      <c r="M1" s="55"/>
      <c r="N1" s="217" t="s">
        <v>88</v>
      </c>
      <c r="O1" s="217"/>
      <c r="P1" s="217"/>
      <c r="Q1" s="217"/>
      <c r="R1" s="217"/>
      <c r="S1" s="217"/>
      <c r="T1" s="56"/>
    </row>
    <row r="2" spans="1:20" ht="16.2" thickBot="1" x14ac:dyDescent="0.35">
      <c r="J2" s="33"/>
      <c r="K2" s="33"/>
      <c r="L2" s="33"/>
      <c r="M2" s="55"/>
      <c r="N2" s="222" t="s">
        <v>12</v>
      </c>
      <c r="O2" s="223"/>
      <c r="P2" s="223"/>
      <c r="Q2" s="223"/>
      <c r="R2" s="224"/>
      <c r="S2" s="56"/>
      <c r="T2" s="56"/>
    </row>
    <row r="3" spans="1:20" ht="26.4" x14ac:dyDescent="0.3">
      <c r="A3" s="218" t="s">
        <v>91</v>
      </c>
      <c r="B3" s="218"/>
      <c r="C3" s="218"/>
      <c r="D3" s="218"/>
      <c r="E3" s="37"/>
      <c r="F3" s="37"/>
      <c r="G3" s="37"/>
      <c r="J3" s="33"/>
      <c r="K3" s="33"/>
      <c r="L3" s="33"/>
      <c r="M3" s="69" t="s">
        <v>11</v>
      </c>
      <c r="N3" s="70" t="s">
        <v>69</v>
      </c>
      <c r="O3" s="78" t="s">
        <v>45</v>
      </c>
      <c r="P3" s="71" t="s">
        <v>63</v>
      </c>
      <c r="Q3" s="71" t="s">
        <v>6</v>
      </c>
      <c r="R3" s="72" t="s">
        <v>10</v>
      </c>
      <c r="S3" s="38" t="s">
        <v>15</v>
      </c>
      <c r="T3" s="36"/>
    </row>
    <row r="4" spans="1:20" ht="26.4" x14ac:dyDescent="0.3">
      <c r="A4" s="216" t="s">
        <v>172</v>
      </c>
      <c r="B4" s="216"/>
      <c r="C4" s="216"/>
      <c r="D4" s="216"/>
      <c r="E4" s="39"/>
      <c r="F4" s="39"/>
      <c r="G4" s="39"/>
      <c r="J4" s="33"/>
      <c r="K4" s="33"/>
      <c r="L4" s="33"/>
      <c r="M4" s="115" t="s">
        <v>123</v>
      </c>
      <c r="N4" s="126">
        <v>34161</v>
      </c>
      <c r="O4" s="128">
        <v>0</v>
      </c>
      <c r="P4" s="127">
        <v>0</v>
      </c>
      <c r="Q4" s="41">
        <v>27574</v>
      </c>
      <c r="R4" s="42">
        <f>+SUM(Table1[[#This Row],[HSIP/3]:[STP other]])</f>
        <v>61735</v>
      </c>
      <c r="S4" s="126">
        <v>58587.43</v>
      </c>
      <c r="T4" s="36"/>
    </row>
    <row r="5" spans="1:20" ht="27" x14ac:dyDescent="0.25">
      <c r="A5" s="118" t="s">
        <v>107</v>
      </c>
      <c r="C5" s="67">
        <v>42978</v>
      </c>
      <c r="J5" s="33"/>
      <c r="K5" s="33"/>
      <c r="L5" s="33"/>
      <c r="M5" s="116" t="s">
        <v>124</v>
      </c>
      <c r="N5" s="40">
        <v>519767</v>
      </c>
      <c r="O5" s="79">
        <v>118141</v>
      </c>
      <c r="P5" s="41">
        <f>Notes!D13</f>
        <v>125000</v>
      </c>
      <c r="Q5" s="41">
        <f>432181+180739</f>
        <v>612920</v>
      </c>
      <c r="R5" s="42">
        <f>+SUM(Table1[[#This Row],[HSIP/3]:[STP other]])</f>
        <v>1375828</v>
      </c>
      <c r="S5" s="40">
        <f>ROUND(Table1[[#This Row],[Total]]*0.949,0)</f>
        <v>1305661</v>
      </c>
      <c r="T5" s="43" t="s">
        <v>71</v>
      </c>
    </row>
    <row r="6" spans="1:20" x14ac:dyDescent="0.3">
      <c r="J6" s="33"/>
      <c r="K6" s="33"/>
      <c r="L6" s="33"/>
      <c r="M6" s="116" t="s">
        <v>79</v>
      </c>
      <c r="N6" s="101">
        <f>SUMIFS(Table_Query_from_MS_Access_Database[[#All],[HSIP]],Table_Query_from_MS_Access_Database[[#All],[Transaction Year]],"2017",Table_Query_from_MS_Access_Database[[#All],[Transaction Type]],"loan in")</f>
        <v>0</v>
      </c>
      <c r="O6" s="99">
        <f>SUMIFS(Table_Query_from_MS_Access_Database[[#All],[PL]],Table_Query_from_MS_Access_Database[[#All],[Transaction Year]],"2017",Table_Query_from_MS_Access_Database[[#All],[Transaction Type]],"loan in")</f>
        <v>0</v>
      </c>
      <c r="P6" s="99">
        <f>SUMIFS(Table_Query_from_MS_Access_Database[[#All],[SPR]],Table_Query_from_MS_Access_Database[[#All],[Transaction Year]],"2017",Table_Query_from_MS_Access_Database[[#All],[Transaction Type]],"loan in")</f>
        <v>0</v>
      </c>
      <c r="Q6" s="102">
        <f>SUMIFS(Table_Query_from_MS_Access_Database[[#All],[STP other]],Table_Query_from_MS_Access_Database[[#All],[Transaction Year]],"2017",Table_Query_from_MS_Access_Database[[#All],[Transaction Type]],"loan in")</f>
        <v>151000</v>
      </c>
      <c r="R6" s="42">
        <f t="shared" ref="R6:R12" si="0">SUM(N6:Q6)</f>
        <v>151000</v>
      </c>
      <c r="S6" s="44">
        <f>SUMIFS(Table_Query_from_MS_Access_Database_16[[#All],[Total]],Table_Query_from_MS_Access_Database_16[[#All],[Transaction Year]],"2017",Table_Query_from_MS_Access_Database_16[[#All],[Transaction Type]],"Loan In")</f>
        <v>151000</v>
      </c>
      <c r="T6" s="36"/>
    </row>
    <row r="7" spans="1:20" x14ac:dyDescent="0.3">
      <c r="A7" s="46"/>
      <c r="J7" s="33"/>
      <c r="K7" s="33"/>
      <c r="L7" s="33"/>
      <c r="M7" s="116" t="s">
        <v>80</v>
      </c>
      <c r="N7" s="101">
        <f>SUMIFS(Table_Query_from_MS_Access_Database[[#All],[HSIP]],Table_Query_from_MS_Access_Database[[#All],[Transaction Year]],"2017",Table_Query_from_MS_Access_Database[[#All],[Transaction Type]],"loan Out")</f>
        <v>-206089</v>
      </c>
      <c r="O7" s="99">
        <f>SUMIFS(Table_Query_from_MS_Access_Database[[#All],[PL]],Table_Query_from_MS_Access_Database[[#All],[Transaction Year]],"2017",Table_Query_from_MS_Access_Database[[#All],[Transaction Type]],"loan Out")</f>
        <v>0</v>
      </c>
      <c r="P7" s="99">
        <f>SUMIFS(Table_Query_from_MS_Access_Database[[#All],[SPR]],Table_Query_from_MS_Access_Database[[#All],[Transaction Year]],"2017",Table_Query_from_MS_Access_Database[[#All],[Transaction Type]],"loan Out")</f>
        <v>0</v>
      </c>
      <c r="Q7" s="102">
        <f>SUMIFS(Table_Query_from_MS_Access_Database[[#All],[STP other]],Table_Query_from_MS_Access_Database[[#All],[Transaction Year]],"2017",Table_Query_from_MS_Access_Database[[#All],[Transaction Type]],"loan Out")</f>
        <v>-196124</v>
      </c>
      <c r="R7" s="42">
        <f t="shared" si="0"/>
        <v>-402213</v>
      </c>
      <c r="S7" s="44">
        <f>SUMIFS(Table_Query_from_MS_Access_Database_16[[#All],[Total]],Table_Query_from_MS_Access_Database_16[[#All],[Transaction Year]],"2017",Table_Query_from_MS_Access_Database_16[[#All],[Transaction Type]],"Loan Out")</f>
        <v>-402213</v>
      </c>
      <c r="T7" s="36"/>
    </row>
    <row r="8" spans="1:20" x14ac:dyDescent="0.3">
      <c r="J8" s="33"/>
      <c r="K8" s="33"/>
      <c r="L8" s="33"/>
      <c r="M8" s="115" t="s">
        <v>81</v>
      </c>
      <c r="N8" s="101">
        <f>SUMIFS(Table_Query_from_MS_Access_Database[[#All],[HSIP]],Table_Query_from_MS_Access_Database[[#All],[Transaction Year]],"2017",Table_Query_from_MS_Access_Database[[#All],[Transaction Type]],"repayment in")</f>
        <v>183217</v>
      </c>
      <c r="O8" s="99">
        <f>SUMIFS(Table_Query_from_MS_Access_Database[[#All],[PL]],Table_Query_from_MS_Access_Database[[#All],[Transaction Year]],"2017",Table_Query_from_MS_Access_Database[[#All],[Transaction Type]],"repayment in")</f>
        <v>0</v>
      </c>
      <c r="P8" s="99">
        <f>SUMIFS(Table_Query_from_MS_Access_Database[[#All],[SPR]],Table_Query_from_MS_Access_Database[[#All],[Transaction Year]],"2017",Table_Query_from_MS_Access_Database[[#All],[Transaction Type]],"repayment in")</f>
        <v>0</v>
      </c>
      <c r="Q8" s="102">
        <f>SUMIFS(Table_Query_from_MS_Access_Database[[#All],[STP other]],Table_Query_from_MS_Access_Database[[#All],[Transaction Year]],"2017",Table_Query_from_MS_Access_Database[[#All],[Transaction Type]],"repayment in")</f>
        <v>633480</v>
      </c>
      <c r="R8" s="42">
        <f t="shared" si="0"/>
        <v>816697</v>
      </c>
      <c r="S8" s="44">
        <f>SUMIFS(Table_Query_from_MS_Access_Database_16[[#All],[Total]],Table_Query_from_MS_Access_Database_16[[#All],[Transaction Year]],"2017",Table_Query_from_MS_Access_Database_16[[#All],[Transaction Type]],"repayment In")</f>
        <v>816697</v>
      </c>
      <c r="T8" s="36"/>
    </row>
    <row r="9" spans="1:20" x14ac:dyDescent="0.3">
      <c r="A9" s="216" t="s">
        <v>99</v>
      </c>
      <c r="B9" s="216"/>
      <c r="C9" s="216"/>
      <c r="D9" s="216"/>
      <c r="E9" s="216"/>
      <c r="F9" s="216"/>
      <c r="G9" s="216"/>
      <c r="H9" s="216"/>
      <c r="I9" s="216"/>
      <c r="J9" s="216"/>
      <c r="K9" s="216"/>
      <c r="L9" s="216"/>
      <c r="M9" s="116" t="s">
        <v>82</v>
      </c>
      <c r="N9" s="101">
        <f>SUMIFS(Table_Query_from_MS_Access_Database[[#All],[HSIP]],Table_Query_from_MS_Access_Database[[#All],[Transaction Year]],"2017",Table_Query_from_MS_Access_Database[[#All],[Transaction Type]],"repayment Out")</f>
        <v>0</v>
      </c>
      <c r="O9" s="99">
        <f>SUMIFS(Table_Query_from_MS_Access_Database[[#All],[PL]],Table_Query_from_MS_Access_Database[[#All],[Transaction Year]],"2017",Table_Query_from_MS_Access_Database[[#All],[Transaction Type]],"repayment Out")</f>
        <v>0</v>
      </c>
      <c r="P9" s="99" t="s">
        <v>247</v>
      </c>
      <c r="Q9" s="102">
        <f>SUMIFS(Table_Query_from_MS_Access_Database[[#All],[STP other]],Table_Query_from_MS_Access_Database[[#All],[Transaction Year]],"2017",Table_Query_from_MS_Access_Database[[#All],[Transaction Type]],"repayment Out")</f>
        <v>0</v>
      </c>
      <c r="R9" s="42">
        <f t="shared" si="0"/>
        <v>0</v>
      </c>
      <c r="S9" s="44">
        <f>SUMIFS(Table_Query_from_MS_Access_Database_16[[#All],[Total]],Table_Query_from_MS_Access_Database_16[[#All],[Transaction Year]],"2017",Table_Query_from_MS_Access_Database_16[[#All],[Transaction Type]],"Repayment Out")</f>
        <v>0</v>
      </c>
      <c r="T9" s="36"/>
    </row>
    <row r="10" spans="1:20" x14ac:dyDescent="0.3">
      <c r="J10" s="33"/>
      <c r="K10" s="33"/>
      <c r="L10" s="33"/>
      <c r="M10" s="116" t="s">
        <v>83</v>
      </c>
      <c r="N10" s="101">
        <f>SUMIFS(Table_Query_from_MS_Access_Database[[#All],[HSIP]],Table_Query_from_MS_Access_Database[[#All],[Transaction Year]],"2017",Table_Query_from_MS_Access_Database[[#All],[Transaction Type]],"Transfer in")</f>
        <v>125000</v>
      </c>
      <c r="O10" s="99">
        <f>SUMIFS(Table_Query_from_MS_Access_Database[[#All],[PL]],Table_Query_from_MS_Access_Database[[#All],[Transaction Year]],"2017",Table_Query_from_MS_Access_Database[[#All],[Transaction Type]],"Transfer in")</f>
        <v>0</v>
      </c>
      <c r="P10" s="99">
        <f>SUMIFS(Table_Query_from_MS_Access_Database[[#All],[SPR]],Table_Query_from_MS_Access_Database[[#All],[Transaction Year]],"2017",Table_Query_from_MS_Access_Database[[#All],[Transaction Type]],"Transfer in")</f>
        <v>0</v>
      </c>
      <c r="Q10" s="102">
        <f>SUMIFS(Table_Query_from_MS_Access_Database[[#All],[STP other]],Table_Query_from_MS_Access_Database[[#All],[Transaction Year]],"2017",Table_Query_from_MS_Access_Database[[#All],[Transaction Type]],"Transfer in")</f>
        <v>0</v>
      </c>
      <c r="R10" s="42">
        <f t="shared" si="0"/>
        <v>125000</v>
      </c>
      <c r="S10" s="44">
        <f>SUMIFS(Table_Query_from_MS_Access_Database_16[[#All],[Total]],Table_Query_from_MS_Access_Database_16[[#All],[Transaction Year]],"2017",Table_Query_from_MS_Access_Database_16[[#All],[Transaction Type]],"Transfer In")</f>
        <v>125000</v>
      </c>
      <c r="T10" s="32"/>
    </row>
    <row r="11" spans="1:20" x14ac:dyDescent="0.3">
      <c r="F11" s="47"/>
      <c r="G11" s="47"/>
      <c r="J11" s="33"/>
      <c r="K11" s="33"/>
      <c r="L11" s="33"/>
      <c r="M11" s="116" t="s">
        <v>84</v>
      </c>
      <c r="N11" s="101">
        <f>SUMIFS(Table_Query_from_MS_Access_Database[[#All],[HSIP]],Table_Query_from_MS_Access_Database[[#All],[Transaction Year]],"2017",Table_Query_from_MS_Access_Database[[#All],[Transaction Type]],"Transfer Out")</f>
        <v>-287704</v>
      </c>
      <c r="O11" s="99">
        <f>SUMIFS(Table_Query_from_MS_Access_Database[[#All],[PL]],Table_Query_from_MS_Access_Database[[#All],[Transaction Year]],"2017",Table_Query_from_MS_Access_Database[[#All],[Transaction Type]],"Transfer Out")</f>
        <v>0</v>
      </c>
      <c r="P11" s="99">
        <f>SUMIFS(Table_Query_from_MS_Access_Database[[#All],[SPR]],Table_Query_from_MS_Access_Database[[#All],[Transaction Year]],"2017",Table_Query_from_MS_Access_Database[[#All],[Transaction Type]],"Transfer Out")</f>
        <v>0</v>
      </c>
      <c r="Q11" s="102">
        <f>SUMIFS(Table_Query_from_MS_Access_Database[[#All],[STP other]],Table_Query_from_MS_Access_Database[[#All],[Transaction Year]],"2017",Table_Query_from_MS_Access_Database[[#All],[Transaction Type]],"Transfer Out")</f>
        <v>0</v>
      </c>
      <c r="R11" s="42">
        <f t="shared" si="0"/>
        <v>-287704</v>
      </c>
      <c r="S11" s="44">
        <f>SUMIFS(Table_Query_from_MS_Access_Database_16[[#All],[Total]],Table_Query_from_MS_Access_Database_16[[#All],[Transaction Year]],"2017",Table_Query_from_MS_Access_Database_16[[#All],[Transaction Type]],"Transfer Out")</f>
        <v>-287704</v>
      </c>
      <c r="T11" s="45"/>
    </row>
    <row r="12" spans="1:20" ht="26.4" x14ac:dyDescent="0.3">
      <c r="J12" s="33"/>
      <c r="K12" s="33"/>
      <c r="L12" s="33"/>
      <c r="M12" s="117" t="s">
        <v>100</v>
      </c>
      <c r="N12" s="114">
        <f>SUM(N4:N11)</f>
        <v>368352</v>
      </c>
      <c r="O12" s="49">
        <f>SUM(O4:O11)</f>
        <v>118141</v>
      </c>
      <c r="P12" s="49">
        <f>SUM(P4:P11)</f>
        <v>125000</v>
      </c>
      <c r="Q12" s="49">
        <f>SUM(Q4:Q11)</f>
        <v>1228850</v>
      </c>
      <c r="R12" s="77">
        <f t="shared" si="0"/>
        <v>1840343</v>
      </c>
      <c r="S12" s="48">
        <f>SUM(S4:S11)</f>
        <v>1767028.43</v>
      </c>
      <c r="T12" s="45"/>
    </row>
    <row r="13" spans="1:20" x14ac:dyDescent="0.3">
      <c r="J13" s="33"/>
      <c r="K13" s="33"/>
      <c r="L13" s="33"/>
      <c r="M13" s="33"/>
      <c r="N13" s="50"/>
      <c r="O13" s="51"/>
      <c r="P13" s="51"/>
      <c r="Q13" s="51"/>
      <c r="R13" s="51"/>
      <c r="S13" s="51"/>
      <c r="T13" s="45"/>
    </row>
    <row r="14" spans="1:20" ht="16.8" x14ac:dyDescent="0.3">
      <c r="A14" s="215" t="s">
        <v>70</v>
      </c>
      <c r="B14" s="215"/>
      <c r="C14" s="215"/>
      <c r="D14" s="215"/>
      <c r="J14" s="219" t="s">
        <v>72</v>
      </c>
      <c r="K14" s="220"/>
      <c r="L14" s="220"/>
      <c r="M14" s="221"/>
      <c r="N14" s="52"/>
      <c r="R14" s="53"/>
      <c r="S14" s="53"/>
      <c r="T14" s="53"/>
    </row>
    <row r="15" spans="1:20" s="54" customFormat="1" ht="26.4" x14ac:dyDescent="0.3">
      <c r="A15" s="88" t="s">
        <v>1</v>
      </c>
      <c r="B15" s="89" t="s">
        <v>0</v>
      </c>
      <c r="C15" s="89" t="s">
        <v>3</v>
      </c>
      <c r="D15" s="89" t="s">
        <v>94</v>
      </c>
      <c r="E15" s="89" t="s">
        <v>2</v>
      </c>
      <c r="F15" s="89" t="s">
        <v>60</v>
      </c>
      <c r="G15" s="89" t="s">
        <v>52</v>
      </c>
      <c r="H15" s="89" t="s">
        <v>53</v>
      </c>
      <c r="I15" s="89" t="s">
        <v>54</v>
      </c>
      <c r="J15" s="89" t="s">
        <v>55</v>
      </c>
      <c r="K15" s="89" t="s">
        <v>56</v>
      </c>
      <c r="L15" s="89" t="s">
        <v>57</v>
      </c>
      <c r="M15" s="89" t="s">
        <v>58</v>
      </c>
      <c r="N15" s="90" t="s">
        <v>4</v>
      </c>
      <c r="O15" s="90" t="s">
        <v>45</v>
      </c>
      <c r="P15" s="90" t="s">
        <v>5</v>
      </c>
      <c r="Q15" s="90" t="s">
        <v>59</v>
      </c>
      <c r="R15" s="90" t="s">
        <v>97</v>
      </c>
      <c r="S15" s="91" t="s">
        <v>105</v>
      </c>
      <c r="T15" s="81"/>
    </row>
    <row r="16" spans="1:20" s="57" customFormat="1" ht="13.2" x14ac:dyDescent="0.3">
      <c r="A16" s="57" t="s">
        <v>183</v>
      </c>
      <c r="C16" s="57" t="s">
        <v>109</v>
      </c>
      <c r="D16" s="57" t="s">
        <v>8</v>
      </c>
      <c r="E16" s="80" t="s">
        <v>184</v>
      </c>
      <c r="F16" s="100" t="str">
        <f>CONCATENATE(Table_Query_from_MS_Access_Database8[[#This Row],[RTE]],Table_Query_from_MS_Access_Database8[[#This Row],[SEC]],Table_Query_from_MS_Access_Database8[[#This Row],[SEQ]])</f>
        <v>SCMS017</v>
      </c>
      <c r="G16" s="80" t="s">
        <v>156</v>
      </c>
      <c r="H16" s="80" t="s">
        <v>185</v>
      </c>
      <c r="I16" s="80" t="s">
        <v>157</v>
      </c>
      <c r="J16" s="83">
        <v>42644</v>
      </c>
      <c r="K16" s="83">
        <v>42650</v>
      </c>
      <c r="L16" s="83">
        <v>42661</v>
      </c>
      <c r="M16" s="83">
        <v>42662</v>
      </c>
      <c r="N16" s="110"/>
      <c r="O16" s="111"/>
      <c r="P16" s="111">
        <v>89030</v>
      </c>
      <c r="Q16" s="111"/>
      <c r="R16" s="111">
        <f>+Table_Query_from_MS_Access_Database8[[#This Row],[HSIP]]+Table_Query_from_MS_Access_Database8[[#This Row],[PL]]+Table_Query_from_MS_Access_Database8[[#This Row],[SPR]]+Table_Query_from_MS_Access_Database8[[#This Row],[STP OTHER]]</f>
        <v>89030</v>
      </c>
      <c r="S16" s="111">
        <f>S12-Table_Query_from_MS_Access_Database8[TOTAL OF AMOUNT]</f>
        <v>1677998.43</v>
      </c>
      <c r="T16" s="81"/>
    </row>
    <row r="17" spans="1:20" s="57" customFormat="1" ht="13.2" x14ac:dyDescent="0.3">
      <c r="A17" s="158" t="s">
        <v>155</v>
      </c>
      <c r="B17" s="158" t="s">
        <v>141</v>
      </c>
      <c r="C17" s="158" t="s">
        <v>109</v>
      </c>
      <c r="D17" s="158" t="s">
        <v>7</v>
      </c>
      <c r="E17" s="160" t="s">
        <v>186</v>
      </c>
      <c r="F17" s="161" t="str">
        <f>CONCATENATE(Table_Query_from_MS_Access_Database8[[#This Row],[RTE]],Table_Query_from_MS_Access_Database8[[#This Row],[SEC]],Table_Query_from_MS_Access_Database8[[#This Row],[SEQ]])</f>
        <v>SCMP017</v>
      </c>
      <c r="G17" s="160" t="s">
        <v>156</v>
      </c>
      <c r="H17" s="160" t="s">
        <v>143</v>
      </c>
      <c r="I17" s="160" t="s">
        <v>157</v>
      </c>
      <c r="J17" s="162">
        <v>42644</v>
      </c>
      <c r="K17" s="162">
        <v>42648</v>
      </c>
      <c r="L17" s="162">
        <v>42656</v>
      </c>
      <c r="M17" s="162">
        <v>42662</v>
      </c>
      <c r="N17" s="163"/>
      <c r="O17" s="164">
        <v>78666.25</v>
      </c>
      <c r="P17" s="164"/>
      <c r="Q17" s="164"/>
      <c r="R17" s="164">
        <f>+Table_Query_from_MS_Access_Database8[[#This Row],[HSIP]]+Table_Query_from_MS_Access_Database8[[#This Row],[PL]]+Table_Query_from_MS_Access_Database8[[#This Row],[SPR]]+Table_Query_from_MS_Access_Database8[[#This Row],[STP OTHER]]</f>
        <v>78666.25</v>
      </c>
      <c r="S17" s="164">
        <f>S16-Table_Query_from_MS_Access_Database8[TOTAL OF AMOUNT]</f>
        <v>1599332.18</v>
      </c>
      <c r="T17" s="81"/>
    </row>
    <row r="18" spans="1:20" s="57" customFormat="1" ht="13.2" x14ac:dyDescent="0.3">
      <c r="A18" s="159" t="s">
        <v>164</v>
      </c>
      <c r="B18" s="159" t="s">
        <v>165</v>
      </c>
      <c r="C18" s="159" t="s">
        <v>139</v>
      </c>
      <c r="D18" s="159" t="s">
        <v>7</v>
      </c>
      <c r="E18" s="160" t="s">
        <v>166</v>
      </c>
      <c r="F18" s="161" t="str">
        <f>CONCATENATE(Table_Query_from_MS_Access_Database8[[#This Row],[RTE]],Table_Query_from_MS_Access_Database8[[#This Row],[SEC]],Table_Query_from_MS_Access_Database8[[#This Row],[SEQ]])</f>
        <v>ELY0204</v>
      </c>
      <c r="G18" s="160" t="s">
        <v>140</v>
      </c>
      <c r="H18" s="160" t="s">
        <v>137</v>
      </c>
      <c r="I18" s="160" t="s">
        <v>138</v>
      </c>
      <c r="J18" s="162">
        <v>42644</v>
      </c>
      <c r="K18" s="162">
        <v>42648</v>
      </c>
      <c r="L18" s="162">
        <v>42668</v>
      </c>
      <c r="M18" s="162">
        <v>42669</v>
      </c>
      <c r="N18" s="163">
        <v>155513</v>
      </c>
      <c r="O18" s="164"/>
      <c r="P18" s="164"/>
      <c r="Q18" s="164"/>
      <c r="R18" s="164">
        <f>+Table_Query_from_MS_Access_Database8[[#This Row],[HSIP]]+Table_Query_from_MS_Access_Database8[[#This Row],[PL]]+Table_Query_from_MS_Access_Database8[[#This Row],[SPR]]+Table_Query_from_MS_Access_Database8[[#This Row],[STP OTHER]]</f>
        <v>155513</v>
      </c>
      <c r="S18" s="164">
        <f>S17-Table_Query_from_MS_Access_Database8[TOTAL OF AMOUNT]</f>
        <v>1443819.18</v>
      </c>
      <c r="T18" s="81"/>
    </row>
    <row r="19" spans="1:20" s="57" customFormat="1" ht="26.4" x14ac:dyDescent="0.3">
      <c r="A19" s="171" t="s">
        <v>205</v>
      </c>
      <c r="B19" s="171" t="s">
        <v>206</v>
      </c>
      <c r="C19" s="171" t="s">
        <v>139</v>
      </c>
      <c r="D19" s="171" t="s">
        <v>9</v>
      </c>
      <c r="E19" s="173" t="s">
        <v>207</v>
      </c>
      <c r="F19" s="174" t="str">
        <f>CONCATENATE(Table_Query_from_MS_Access_Database8[[#This Row],[RTE]],Table_Query_from_MS_Access_Database8[[#This Row],[SEC]],Table_Query_from_MS_Access_Database8[[#This Row],[SEQ]])</f>
        <v>ELY0205</v>
      </c>
      <c r="G19" s="173" t="s">
        <v>140</v>
      </c>
      <c r="H19" s="173" t="s">
        <v>137</v>
      </c>
      <c r="I19" s="173" t="s">
        <v>208</v>
      </c>
      <c r="J19" s="175"/>
      <c r="K19" s="175">
        <v>42747</v>
      </c>
      <c r="L19" s="175">
        <v>42747</v>
      </c>
      <c r="M19" s="175">
        <v>42752</v>
      </c>
      <c r="N19" s="176">
        <v>-15517.39</v>
      </c>
      <c r="O19" s="177"/>
      <c r="P19" s="177"/>
      <c r="Q19" s="177"/>
      <c r="R19" s="177">
        <f>+Table_Query_from_MS_Access_Database8[[#This Row],[HSIP]]+Table_Query_from_MS_Access_Database8[[#This Row],[PL]]+Table_Query_from_MS_Access_Database8[[#This Row],[SPR]]+Table_Query_from_MS_Access_Database8[[#This Row],[STP OTHER]]</f>
        <v>-15517.39</v>
      </c>
      <c r="S19" s="164">
        <f>S18-Table_Query_from_MS_Access_Database8[TOTAL OF AMOUNT]</f>
        <v>1459336.5699999998</v>
      </c>
      <c r="T19" s="81"/>
    </row>
    <row r="20" spans="1:20" s="57" customFormat="1" ht="13.2" x14ac:dyDescent="0.3">
      <c r="A20" s="171" t="s">
        <v>209</v>
      </c>
      <c r="B20" s="171" t="s">
        <v>210</v>
      </c>
      <c r="C20" s="171" t="s">
        <v>139</v>
      </c>
      <c r="D20" s="171" t="s">
        <v>9</v>
      </c>
      <c r="E20" s="173" t="s">
        <v>211</v>
      </c>
      <c r="F20" s="174" t="str">
        <f>CONCATENATE(Table_Query_from_MS_Access_Database8[[#This Row],[RTE]],Table_Query_from_MS_Access_Database8[[#This Row],[SEC]],Table_Query_from_MS_Access_Database8[[#This Row],[SEQ]])</f>
        <v>ELY0205</v>
      </c>
      <c r="G20" s="173" t="s">
        <v>140</v>
      </c>
      <c r="H20" s="173" t="s">
        <v>137</v>
      </c>
      <c r="I20" s="173" t="s">
        <v>208</v>
      </c>
      <c r="J20" s="175"/>
      <c r="K20" s="175">
        <v>42747</v>
      </c>
      <c r="L20" s="175">
        <v>42747</v>
      </c>
      <c r="M20" s="175">
        <v>42752</v>
      </c>
      <c r="N20" s="176">
        <v>-25883.37</v>
      </c>
      <c r="O20" s="177"/>
      <c r="P20" s="177"/>
      <c r="Q20" s="177"/>
      <c r="R20" s="177">
        <f>+Table_Query_from_MS_Access_Database8[[#This Row],[HSIP]]+Table_Query_from_MS_Access_Database8[[#This Row],[PL]]+Table_Query_from_MS_Access_Database8[[#This Row],[SPR]]+Table_Query_from_MS_Access_Database8[[#This Row],[STP OTHER]]</f>
        <v>-25883.37</v>
      </c>
      <c r="S20" s="164">
        <f>S19-Table_Query_from_MS_Access_Database8[TOTAL OF AMOUNT]</f>
        <v>1485219.94</v>
      </c>
    </row>
    <row r="21" spans="1:20" s="97" customFormat="1" ht="26.4" x14ac:dyDescent="0.3">
      <c r="A21" s="171" t="s">
        <v>202</v>
      </c>
      <c r="B21" s="171"/>
      <c r="C21" s="171" t="s">
        <v>109</v>
      </c>
      <c r="D21" s="171" t="s">
        <v>9</v>
      </c>
      <c r="E21" s="173" t="s">
        <v>203</v>
      </c>
      <c r="F21" s="174" t="str">
        <f>CONCATENATE(Table_Query_from_MS_Access_Database8[[#This Row],[RTE]],Table_Query_from_MS_Access_Database8[[#This Row],[SEC]],Table_Query_from_MS_Access_Database8[[#This Row],[SEQ]])</f>
        <v>999A445</v>
      </c>
      <c r="G21" s="173" t="s">
        <v>147</v>
      </c>
      <c r="H21" s="173" t="s">
        <v>142</v>
      </c>
      <c r="I21" s="173" t="s">
        <v>204</v>
      </c>
      <c r="J21" s="175"/>
      <c r="K21" s="175">
        <v>42741</v>
      </c>
      <c r="L21" s="175">
        <v>42741</v>
      </c>
      <c r="M21" s="175">
        <v>42753</v>
      </c>
      <c r="N21" s="176"/>
      <c r="O21" s="177"/>
      <c r="P21" s="177"/>
      <c r="Q21" s="177">
        <v>-150558.13</v>
      </c>
      <c r="R21" s="177">
        <f>+Table_Query_from_MS_Access_Database8[[#This Row],[HSIP]]+Table_Query_from_MS_Access_Database8[[#This Row],[PL]]+Table_Query_from_MS_Access_Database8[[#This Row],[SPR]]+Table_Query_from_MS_Access_Database8[[#This Row],[STP OTHER]]</f>
        <v>-150558.13</v>
      </c>
      <c r="S21" s="164">
        <f>S20-Table_Query_from_MS_Access_Database8[TOTAL OF AMOUNT]</f>
        <v>1635778.0699999998</v>
      </c>
      <c r="T21" s="59"/>
    </row>
    <row r="22" spans="1:20" s="97" customFormat="1" ht="26.4" x14ac:dyDescent="0.3">
      <c r="A22" s="172" t="s">
        <v>159</v>
      </c>
      <c r="B22" s="172" t="s">
        <v>197</v>
      </c>
      <c r="C22" s="172" t="s">
        <v>160</v>
      </c>
      <c r="D22" s="172" t="s">
        <v>7</v>
      </c>
      <c r="E22" s="173" t="s">
        <v>161</v>
      </c>
      <c r="F22" s="174" t="str">
        <f>CONCATENATE(Table_Query_from_MS_Access_Database8[[#This Row],[RTE]],Table_Query_from_MS_Access_Database8[[#This Row],[SEC]],Table_Query_from_MS_Access_Database8[[#This Row],[SEQ]])</f>
        <v>PPN0212</v>
      </c>
      <c r="G22" s="173" t="s">
        <v>162</v>
      </c>
      <c r="H22" s="173" t="s">
        <v>137</v>
      </c>
      <c r="I22" s="173" t="s">
        <v>163</v>
      </c>
      <c r="J22" s="175">
        <v>42704</v>
      </c>
      <c r="K22" s="175">
        <v>42725</v>
      </c>
      <c r="L22" s="175">
        <v>42746</v>
      </c>
      <c r="M22" s="175">
        <v>42760</v>
      </c>
      <c r="N22" s="176">
        <v>140955</v>
      </c>
      <c r="O22" s="177"/>
      <c r="P22" s="177"/>
      <c r="Q22" s="177"/>
      <c r="R22" s="177">
        <f>+Table_Query_from_MS_Access_Database8[[#This Row],[HSIP]]+Table_Query_from_MS_Access_Database8[[#This Row],[PL]]+Table_Query_from_MS_Access_Database8[[#This Row],[SPR]]+Table_Query_from_MS_Access_Database8[[#This Row],[STP OTHER]]</f>
        <v>140955</v>
      </c>
      <c r="S22" s="164">
        <f>S21-Table_Query_from_MS_Access_Database8[TOTAL OF AMOUNT]</f>
        <v>1494823.0699999998</v>
      </c>
      <c r="T22" s="59"/>
    </row>
    <row r="23" spans="1:20" s="97" customFormat="1" ht="39.6" x14ac:dyDescent="0.3">
      <c r="A23" s="170" t="s">
        <v>146</v>
      </c>
      <c r="B23" s="170" t="s">
        <v>181</v>
      </c>
      <c r="C23" s="170" t="s">
        <v>109</v>
      </c>
      <c r="D23" s="170" t="s">
        <v>8</v>
      </c>
      <c r="E23" s="173" t="s">
        <v>182</v>
      </c>
      <c r="F23" s="174" t="str">
        <f>CONCATENATE(Table_Query_from_MS_Access_Database8[[#This Row],[RTE]],Table_Query_from_MS_Access_Database8[[#This Row],[SEC]],Table_Query_from_MS_Access_Database8[[#This Row],[SEQ]])</f>
        <v>999A481</v>
      </c>
      <c r="G23" s="173" t="s">
        <v>147</v>
      </c>
      <c r="H23" s="173" t="s">
        <v>142</v>
      </c>
      <c r="I23" s="173" t="s">
        <v>148</v>
      </c>
      <c r="J23" s="175">
        <v>42644</v>
      </c>
      <c r="K23" s="175">
        <v>42788</v>
      </c>
      <c r="L23" s="175">
        <v>42788</v>
      </c>
      <c r="M23" s="175">
        <v>42795</v>
      </c>
      <c r="N23" s="176"/>
      <c r="O23" s="177"/>
      <c r="P23" s="177"/>
      <c r="Q23" s="177">
        <v>-4745</v>
      </c>
      <c r="R23" s="177">
        <f>+Table_Query_from_MS_Access_Database8[[#This Row],[HSIP]]+Table_Query_from_MS_Access_Database8[[#This Row],[PL]]+Table_Query_from_MS_Access_Database8[[#This Row],[SPR]]+Table_Query_from_MS_Access_Database8[[#This Row],[STP OTHER]]</f>
        <v>-4745</v>
      </c>
      <c r="S23" s="164">
        <f>S22-Table_Query_from_MS_Access_Database8[TOTAL OF AMOUNT]</f>
        <v>1499568.0699999998</v>
      </c>
      <c r="T23" s="59"/>
    </row>
    <row r="24" spans="1:20" s="97" customFormat="1" ht="13.2" x14ac:dyDescent="0.3">
      <c r="A24" s="170" t="s">
        <v>164</v>
      </c>
      <c r="B24" s="170" t="s">
        <v>165</v>
      </c>
      <c r="C24" s="170" t="s">
        <v>139</v>
      </c>
      <c r="D24" s="170" t="s">
        <v>21</v>
      </c>
      <c r="E24" s="173" t="s">
        <v>166</v>
      </c>
      <c r="F24" s="174" t="str">
        <f>CONCATENATE(Table_Query_from_MS_Access_Database8[[#This Row],[RTE]],Table_Query_from_MS_Access_Database8[[#This Row],[SEC]],Table_Query_from_MS_Access_Database8[[#This Row],[SEQ]])</f>
        <v>ELY0204</v>
      </c>
      <c r="G24" s="173" t="s">
        <v>140</v>
      </c>
      <c r="H24" s="173" t="s">
        <v>137</v>
      </c>
      <c r="I24" s="173" t="s">
        <v>138</v>
      </c>
      <c r="J24" s="175"/>
      <c r="K24" s="175">
        <v>42780</v>
      </c>
      <c r="L24" s="175">
        <v>42793</v>
      </c>
      <c r="M24" s="175">
        <v>42800</v>
      </c>
      <c r="N24" s="176">
        <v>-83741</v>
      </c>
      <c r="O24" s="177"/>
      <c r="P24" s="177"/>
      <c r="Q24" s="177"/>
      <c r="R24" s="177">
        <f>+Table_Query_from_MS_Access_Database8[[#This Row],[HSIP]]+Table_Query_from_MS_Access_Database8[[#This Row],[PL]]+Table_Query_from_MS_Access_Database8[[#This Row],[SPR]]+Table_Query_from_MS_Access_Database8[[#This Row],[STP OTHER]]</f>
        <v>-83741</v>
      </c>
      <c r="S24" s="164">
        <f>S23-Table_Query_from_MS_Access_Database8[TOTAL OF AMOUNT]</f>
        <v>1583309.0699999998</v>
      </c>
      <c r="T24" s="59"/>
    </row>
    <row r="25" spans="1:20" s="97" customFormat="1" ht="13.2" x14ac:dyDescent="0.3">
      <c r="A25" s="170" t="s">
        <v>168</v>
      </c>
      <c r="B25" s="170" t="s">
        <v>169</v>
      </c>
      <c r="C25" s="170" t="s">
        <v>144</v>
      </c>
      <c r="D25" s="170" t="s">
        <v>7</v>
      </c>
      <c r="E25" s="173" t="s">
        <v>170</v>
      </c>
      <c r="F25" s="174" t="str">
        <f>CONCATENATE(Table_Query_from_MS_Access_Database8[[#This Row],[RTE]],Table_Query_from_MS_Access_Database8[[#This Row],[SEC]],Table_Query_from_MS_Access_Database8[[#This Row],[SEQ]])</f>
        <v>CLG0207</v>
      </c>
      <c r="G25" s="173" t="s">
        <v>145</v>
      </c>
      <c r="H25" s="173" t="s">
        <v>137</v>
      </c>
      <c r="I25" s="173" t="s">
        <v>171</v>
      </c>
      <c r="J25" s="175">
        <v>42776</v>
      </c>
      <c r="K25" s="175">
        <v>42787</v>
      </c>
      <c r="L25" s="175">
        <v>42793</v>
      </c>
      <c r="M25" s="175">
        <v>42801</v>
      </c>
      <c r="N25" s="176"/>
      <c r="O25" s="177"/>
      <c r="P25" s="177"/>
      <c r="Q25" s="177">
        <v>1332653</v>
      </c>
      <c r="R25" s="177">
        <f>+Table_Query_from_MS_Access_Database8[[#This Row],[HSIP]]+Table_Query_from_MS_Access_Database8[[#This Row],[PL]]+Table_Query_from_MS_Access_Database8[[#This Row],[SPR]]+Table_Query_from_MS_Access_Database8[[#This Row],[STP OTHER]]</f>
        <v>1332653</v>
      </c>
      <c r="S25" s="164">
        <f>S24-Table_Query_from_MS_Access_Database8[TOTAL OF AMOUNT]</f>
        <v>250656.06999999983</v>
      </c>
      <c r="T25" s="59"/>
    </row>
    <row r="26" spans="1:20" s="97" customFormat="1" ht="13.2" x14ac:dyDescent="0.3">
      <c r="A26" s="192" t="s">
        <v>228</v>
      </c>
      <c r="B26" s="192"/>
      <c r="C26" s="192" t="s">
        <v>144</v>
      </c>
      <c r="D26" s="192" t="s">
        <v>9</v>
      </c>
      <c r="E26" s="193" t="s">
        <v>229</v>
      </c>
      <c r="F26" s="194" t="str">
        <f>CONCATENATE(Table_Query_from_MS_Access_Database8[[#This Row],[RTE]],Table_Query_from_MS_Access_Database8[[#This Row],[SEC]],Table_Query_from_MS_Access_Database8[[#This Row],[SEQ]])</f>
        <v>CLG0203</v>
      </c>
      <c r="G26" s="193" t="s">
        <v>145</v>
      </c>
      <c r="H26" s="193" t="s">
        <v>137</v>
      </c>
      <c r="I26" s="193" t="s">
        <v>227</v>
      </c>
      <c r="J26" s="83"/>
      <c r="K26" s="83">
        <v>42867</v>
      </c>
      <c r="L26" s="83">
        <v>42867</v>
      </c>
      <c r="M26" s="83">
        <v>42879</v>
      </c>
      <c r="N26" s="195">
        <v>-6211.99</v>
      </c>
      <c r="O26" s="196"/>
      <c r="P26" s="196"/>
      <c r="Q26" s="196"/>
      <c r="R26" s="196">
        <f>+Table_Query_from_MS_Access_Database8[[#This Row],[HSIP]]+Table_Query_from_MS_Access_Database8[[#This Row],[PL]]+Table_Query_from_MS_Access_Database8[[#This Row],[SPR]]+Table_Query_from_MS_Access_Database8[[#This Row],[STP OTHER]]</f>
        <v>-6211.99</v>
      </c>
      <c r="S26" s="164">
        <f>S25-Table_Query_from_MS_Access_Database8[TOTAL OF AMOUNT]</f>
        <v>256868.05999999982</v>
      </c>
      <c r="T26" s="59"/>
    </row>
    <row r="27" spans="1:20" s="97" customFormat="1" ht="13.2" x14ac:dyDescent="0.3">
      <c r="A27" s="192" t="s">
        <v>225</v>
      </c>
      <c r="B27" s="192"/>
      <c r="C27" s="192" t="s">
        <v>144</v>
      </c>
      <c r="D27" s="192" t="s">
        <v>9</v>
      </c>
      <c r="E27" s="193" t="s">
        <v>226</v>
      </c>
      <c r="F27" s="194" t="str">
        <f>CONCATENATE(Table_Query_from_MS_Access_Database8[[#This Row],[RTE]],Table_Query_from_MS_Access_Database8[[#This Row],[SEC]],Table_Query_from_MS_Access_Database8[[#This Row],[SEQ]])</f>
        <v>CLG0203</v>
      </c>
      <c r="G27" s="193" t="s">
        <v>145</v>
      </c>
      <c r="H27" s="193" t="s">
        <v>137</v>
      </c>
      <c r="I27" s="193" t="s">
        <v>227</v>
      </c>
      <c r="J27" s="83"/>
      <c r="K27" s="83">
        <v>42867</v>
      </c>
      <c r="L27" s="83">
        <v>42867</v>
      </c>
      <c r="M27" s="83">
        <v>42879</v>
      </c>
      <c r="N27" s="195">
        <v>-67677.17</v>
      </c>
      <c r="O27" s="196"/>
      <c r="P27" s="196"/>
      <c r="Q27" s="196"/>
      <c r="R27" s="196">
        <f>+Table_Query_from_MS_Access_Database8[[#This Row],[HSIP]]+Table_Query_from_MS_Access_Database8[[#This Row],[PL]]+Table_Query_from_MS_Access_Database8[[#This Row],[SPR]]+Table_Query_from_MS_Access_Database8[[#This Row],[STP OTHER]]</f>
        <v>-67677.17</v>
      </c>
      <c r="S27" s="164">
        <f>S26-Table_Query_from_MS_Access_Database8[TOTAL OF AMOUNT]</f>
        <v>324545.22999999981</v>
      </c>
      <c r="T27" s="59"/>
    </row>
    <row r="28" spans="1:20" s="97" customFormat="1" ht="26.4" x14ac:dyDescent="0.3">
      <c r="A28" s="197" t="s">
        <v>220</v>
      </c>
      <c r="B28" s="197" t="s">
        <v>167</v>
      </c>
      <c r="C28" s="197" t="s">
        <v>109</v>
      </c>
      <c r="D28" s="197" t="s">
        <v>7</v>
      </c>
      <c r="E28" s="198" t="s">
        <v>221</v>
      </c>
      <c r="F28" s="199" t="str">
        <f>CONCATENATE(Table_Query_from_MS_Access_Database8[[#This Row],[RTE]],Table_Query_from_MS_Access_Database8[[#This Row],[SEC]],Table_Query_from_MS_Access_Database8[[#This Row],[SEQ]])</f>
        <v>SCMT017</v>
      </c>
      <c r="G28" s="198" t="s">
        <v>156</v>
      </c>
      <c r="H28" s="198" t="s">
        <v>222</v>
      </c>
      <c r="I28" s="198" t="s">
        <v>157</v>
      </c>
      <c r="J28" s="200"/>
      <c r="K28" s="200">
        <v>42858</v>
      </c>
      <c r="L28" s="200">
        <v>42879</v>
      </c>
      <c r="M28" s="200">
        <v>42886</v>
      </c>
      <c r="N28" s="201"/>
      <c r="O28" s="202"/>
      <c r="P28" s="202"/>
      <c r="Q28" s="202">
        <v>51000</v>
      </c>
      <c r="R28" s="202">
        <f>+Table_Query_from_MS_Access_Database8[[#This Row],[HSIP]]+Table_Query_from_MS_Access_Database8[[#This Row],[PL]]+Table_Query_from_MS_Access_Database8[[#This Row],[SPR]]+Table_Query_from_MS_Access_Database8[[#This Row],[STP OTHER]]</f>
        <v>51000</v>
      </c>
      <c r="S28" s="164">
        <f>S27-Table_Query_from_MS_Access_Database8[TOTAL OF AMOUNT]</f>
        <v>273545.22999999981</v>
      </c>
      <c r="T28" s="59"/>
    </row>
    <row r="29" spans="1:20" s="97" customFormat="1" ht="13.2" x14ac:dyDescent="0.3">
      <c r="A29" s="197" t="s">
        <v>223</v>
      </c>
      <c r="B29" s="197"/>
      <c r="C29" s="197" t="s">
        <v>109</v>
      </c>
      <c r="D29" s="197" t="s">
        <v>7</v>
      </c>
      <c r="E29" s="198" t="s">
        <v>184</v>
      </c>
      <c r="F29" s="199" t="str">
        <f>CONCATENATE(Table_Query_from_MS_Access_Database8[[#This Row],[RTE]],Table_Query_from_MS_Access_Database8[[#This Row],[SEC]],Table_Query_from_MS_Access_Database8[[#This Row],[SEQ]])</f>
        <v>SCMH017</v>
      </c>
      <c r="G29" s="198" t="s">
        <v>156</v>
      </c>
      <c r="H29" s="198" t="s">
        <v>224</v>
      </c>
      <c r="I29" s="198" t="s">
        <v>157</v>
      </c>
      <c r="J29" s="200"/>
      <c r="K29" s="200">
        <v>42856</v>
      </c>
      <c r="L29" s="200">
        <v>42881</v>
      </c>
      <c r="M29" s="200">
        <v>42894</v>
      </c>
      <c r="N29" s="201">
        <v>210000</v>
      </c>
      <c r="O29" s="202"/>
      <c r="P29" s="202"/>
      <c r="Q29" s="202"/>
      <c r="R29" s="202">
        <f>+Table_Query_from_MS_Access_Database8[[#This Row],[HSIP]]+Table_Query_from_MS_Access_Database8[[#This Row],[PL]]+Table_Query_from_MS_Access_Database8[[#This Row],[SPR]]+Table_Query_from_MS_Access_Database8[[#This Row],[STP OTHER]]</f>
        <v>210000</v>
      </c>
      <c r="S29" s="164">
        <f>S28-Table_Query_from_MS_Access_Database8[TOTAL OF AMOUNT]</f>
        <v>63545.229999999807</v>
      </c>
      <c r="T29" s="59"/>
    </row>
    <row r="30" spans="1:20" s="97" customFormat="1" ht="26.4" x14ac:dyDescent="0.3">
      <c r="A30" s="197" t="s">
        <v>230</v>
      </c>
      <c r="B30" s="197" t="s">
        <v>141</v>
      </c>
      <c r="C30" s="197" t="s">
        <v>122</v>
      </c>
      <c r="D30" s="197" t="s">
        <v>7</v>
      </c>
      <c r="E30" s="198" t="s">
        <v>231</v>
      </c>
      <c r="F30" s="199" t="str">
        <f>CONCATENATE(Table_Query_from_MS_Access_Database8[[#This Row],[RTE]],Table_Query_from_MS_Access_Database8[[#This Row],[SEC]],Table_Query_from_MS_Access_Database8[[#This Row],[SEQ]])</f>
        <v>094A287</v>
      </c>
      <c r="G30" s="198" t="s">
        <v>232</v>
      </c>
      <c r="H30" s="198" t="s">
        <v>142</v>
      </c>
      <c r="I30" s="198" t="s">
        <v>233</v>
      </c>
      <c r="J30" s="200"/>
      <c r="K30" s="200">
        <v>42885</v>
      </c>
      <c r="L30" s="200">
        <v>42891</v>
      </c>
      <c r="M30" s="200">
        <v>42894</v>
      </c>
      <c r="N30" s="201"/>
      <c r="O30" s="202"/>
      <c r="P30" s="202"/>
      <c r="Q30" s="202">
        <v>500</v>
      </c>
      <c r="R30" s="202">
        <f>+Table_Query_from_MS_Access_Database8[[#This Row],[HSIP]]+Table_Query_from_MS_Access_Database8[[#This Row],[PL]]+Table_Query_from_MS_Access_Database8[[#This Row],[SPR]]+Table_Query_from_MS_Access_Database8[[#This Row],[STP OTHER]]</f>
        <v>500</v>
      </c>
      <c r="S30" s="164">
        <f>S29-Table_Query_from_MS_Access_Database8[TOTAL OF AMOUNT]</f>
        <v>63045.229999999807</v>
      </c>
      <c r="T30" s="59"/>
    </row>
    <row r="31" spans="1:20" s="97" customFormat="1" ht="13.2" x14ac:dyDescent="0.3">
      <c r="A31" s="197" t="s">
        <v>187</v>
      </c>
      <c r="B31" s="197"/>
      <c r="C31" s="197" t="s">
        <v>109</v>
      </c>
      <c r="D31" s="197" t="s">
        <v>7</v>
      </c>
      <c r="E31" s="198" t="s">
        <v>188</v>
      </c>
      <c r="F31" s="199" t="str">
        <f>CONCATENATE(Table_Query_from_MS_Access_Database8[[#This Row],[RTE]],Table_Query_from_MS_Access_Database8[[#This Row],[SEC]],Table_Query_from_MS_Access_Database8[[#This Row],[SEQ]])</f>
        <v>SCMS018</v>
      </c>
      <c r="G31" s="198" t="s">
        <v>156</v>
      </c>
      <c r="H31" s="198" t="s">
        <v>185</v>
      </c>
      <c r="I31" s="198" t="s">
        <v>189</v>
      </c>
      <c r="J31" s="200">
        <v>42901</v>
      </c>
      <c r="K31" s="200">
        <v>42905</v>
      </c>
      <c r="L31" s="200">
        <v>42905</v>
      </c>
      <c r="M31" s="200">
        <v>42907</v>
      </c>
      <c r="N31" s="201"/>
      <c r="O31" s="202"/>
      <c r="P31" s="202">
        <v>29675</v>
      </c>
      <c r="Q31" s="202"/>
      <c r="R31" s="202">
        <f>+Table_Query_from_MS_Access_Database8[[#This Row],[HSIP]]+Table_Query_from_MS_Access_Database8[[#This Row],[PL]]+Table_Query_from_MS_Access_Database8[[#This Row],[SPR]]+Table_Query_from_MS_Access_Database8[[#This Row],[STP OTHER]]</f>
        <v>29675</v>
      </c>
      <c r="S31" s="164">
        <f>S30-Table_Query_from_MS_Access_Database8[TOTAL OF AMOUNT]</f>
        <v>33370.229999999807</v>
      </c>
      <c r="T31" s="59"/>
    </row>
    <row r="32" spans="1:20" s="97" customFormat="1" ht="13.2" x14ac:dyDescent="0.3">
      <c r="A32" s="197" t="s">
        <v>190</v>
      </c>
      <c r="B32" s="197" t="s">
        <v>141</v>
      </c>
      <c r="C32" s="197" t="s">
        <v>109</v>
      </c>
      <c r="D32" s="197" t="s">
        <v>7</v>
      </c>
      <c r="E32" s="198" t="s">
        <v>191</v>
      </c>
      <c r="F32" s="199" t="str">
        <f>CONCATENATE(Table_Query_from_MS_Access_Database8[[#This Row],[RTE]],Table_Query_from_MS_Access_Database8[[#This Row],[SEC]],Table_Query_from_MS_Access_Database8[[#This Row],[SEQ]])</f>
        <v>SCMP018</v>
      </c>
      <c r="G32" s="198" t="s">
        <v>156</v>
      </c>
      <c r="H32" s="198" t="s">
        <v>143</v>
      </c>
      <c r="I32" s="198" t="s">
        <v>189</v>
      </c>
      <c r="J32" s="200">
        <v>42901</v>
      </c>
      <c r="K32" s="200">
        <v>42905</v>
      </c>
      <c r="L32" s="200">
        <v>42905</v>
      </c>
      <c r="M32" s="200">
        <v>42907</v>
      </c>
      <c r="N32" s="201"/>
      <c r="O32" s="202">
        <v>26310.43</v>
      </c>
      <c r="P32" s="202"/>
      <c r="Q32" s="202"/>
      <c r="R32" s="202">
        <f>+Table_Query_from_MS_Access_Database8[[#This Row],[HSIP]]+Table_Query_from_MS_Access_Database8[[#This Row],[PL]]+Table_Query_from_MS_Access_Database8[[#This Row],[SPR]]+Table_Query_from_MS_Access_Database8[[#This Row],[STP OTHER]]</f>
        <v>26310.43</v>
      </c>
      <c r="S32" s="164">
        <f>S31-Table_Query_from_MS_Access_Database8[TOTAL OF AMOUNT]</f>
        <v>7059.7999999998065</v>
      </c>
      <c r="T32" s="59"/>
    </row>
    <row r="33" spans="1:20" s="97" customFormat="1" ht="26.4" x14ac:dyDescent="0.3">
      <c r="A33" s="197" t="s">
        <v>153</v>
      </c>
      <c r="B33" s="197" t="s">
        <v>237</v>
      </c>
      <c r="C33" s="197" t="s">
        <v>238</v>
      </c>
      <c r="D33" s="197" t="s">
        <v>21</v>
      </c>
      <c r="E33" s="198" t="s">
        <v>239</v>
      </c>
      <c r="F33" s="199" t="str">
        <f>CONCATENATE(Table_Query_from_MS_Access_Database8[[#This Row],[RTE]],Table_Query_from_MS_Access_Database8[[#This Row],[SEC]],Table_Query_from_MS_Access_Database8[[#This Row],[SEQ]])</f>
        <v>CSG0206</v>
      </c>
      <c r="G33" s="198" t="s">
        <v>240</v>
      </c>
      <c r="H33" s="198" t="s">
        <v>137</v>
      </c>
      <c r="I33" s="198" t="s">
        <v>241</v>
      </c>
      <c r="J33" s="200"/>
      <c r="K33" s="200">
        <v>42919</v>
      </c>
      <c r="L33" s="200">
        <v>42927</v>
      </c>
      <c r="M33" s="200">
        <v>42927</v>
      </c>
      <c r="N33" s="201">
        <v>-67560</v>
      </c>
      <c r="O33" s="202"/>
      <c r="P33" s="202"/>
      <c r="Q33" s="202"/>
      <c r="R33" s="202">
        <f>+Table_Query_from_MS_Access_Database8[[#This Row],[HSIP]]+Table_Query_from_MS_Access_Database8[[#This Row],[PL]]+Table_Query_from_MS_Access_Database8[[#This Row],[SPR]]+Table_Query_from_MS_Access_Database8[[#This Row],[STP OTHER]]</f>
        <v>-67560</v>
      </c>
      <c r="S33" s="164">
        <f>S32-Table_Query_from_MS_Access_Database8[TOTAL OF AMOUNT]</f>
        <v>74619.799999999814</v>
      </c>
      <c r="T33" s="59"/>
    </row>
    <row r="34" spans="1:20" s="97" customFormat="1" ht="26.4" x14ac:dyDescent="0.3">
      <c r="A34" s="197" t="s">
        <v>242</v>
      </c>
      <c r="B34" s="197" t="s">
        <v>243</v>
      </c>
      <c r="C34" s="197" t="s">
        <v>238</v>
      </c>
      <c r="D34" s="197" t="s">
        <v>8</v>
      </c>
      <c r="E34" s="198" t="s">
        <v>239</v>
      </c>
      <c r="F34" s="199" t="str">
        <f>CONCATENATE(Table_Query_from_MS_Access_Database8[[#This Row],[RTE]],Table_Query_from_MS_Access_Database8[[#This Row],[SEC]],Table_Query_from_MS_Access_Database8[[#This Row],[SEQ]])</f>
        <v>CSG0206</v>
      </c>
      <c r="G34" s="198" t="s">
        <v>240</v>
      </c>
      <c r="H34" s="198" t="s">
        <v>137</v>
      </c>
      <c r="I34" s="198" t="s">
        <v>241</v>
      </c>
      <c r="J34" s="200"/>
      <c r="K34" s="200">
        <v>42928</v>
      </c>
      <c r="L34" s="200">
        <v>42933</v>
      </c>
      <c r="M34" s="200">
        <v>42947</v>
      </c>
      <c r="N34" s="201">
        <v>-886.37</v>
      </c>
      <c r="O34" s="202"/>
      <c r="P34" s="202"/>
      <c r="Q34" s="202"/>
      <c r="R34" s="202">
        <f>+Table_Query_from_MS_Access_Database8[[#This Row],[HSIP]]+Table_Query_from_MS_Access_Database8[[#This Row],[PL]]+Table_Query_from_MS_Access_Database8[[#This Row],[SPR]]+Table_Query_from_MS_Access_Database8[[#This Row],[STP OTHER]]</f>
        <v>-886.37</v>
      </c>
      <c r="S34" s="164">
        <f>S33-Table_Query_from_MS_Access_Database8[TOTAL OF AMOUNT]</f>
        <v>75506.169999999809</v>
      </c>
      <c r="T34" s="59"/>
    </row>
    <row r="35" spans="1:20" s="97" customFormat="1" ht="13.2" x14ac:dyDescent="0.3">
      <c r="A35" s="197" t="s">
        <v>168</v>
      </c>
      <c r="B35" s="197" t="s">
        <v>169</v>
      </c>
      <c r="C35" s="197" t="s">
        <v>144</v>
      </c>
      <c r="D35" s="197" t="s">
        <v>8</v>
      </c>
      <c r="E35" s="198" t="s">
        <v>170</v>
      </c>
      <c r="F35" s="199" t="str">
        <f>CONCATENATE(Table_Query_from_MS_Access_Database8[[#This Row],[RTE]],Table_Query_from_MS_Access_Database8[[#This Row],[SEC]],Table_Query_from_MS_Access_Database8[[#This Row],[SEQ]])</f>
        <v>CLG0207</v>
      </c>
      <c r="G35" s="198" t="s">
        <v>145</v>
      </c>
      <c r="H35" s="198" t="s">
        <v>137</v>
      </c>
      <c r="I35" s="198" t="s">
        <v>171</v>
      </c>
      <c r="J35" s="200"/>
      <c r="K35" s="200">
        <v>42888</v>
      </c>
      <c r="L35" s="200">
        <v>42930</v>
      </c>
      <c r="M35" s="200">
        <v>42947</v>
      </c>
      <c r="N35" s="201"/>
      <c r="O35" s="202"/>
      <c r="P35" s="202"/>
      <c r="Q35" s="202">
        <v>51865</v>
      </c>
      <c r="R35" s="202">
        <f>+Table_Query_from_MS_Access_Database8[[#This Row],[HSIP]]+Table_Query_from_MS_Access_Database8[[#This Row],[PL]]+Table_Query_from_MS_Access_Database8[[#This Row],[SPR]]+Table_Query_from_MS_Access_Database8[[#This Row],[STP OTHER]]</f>
        <v>51865</v>
      </c>
      <c r="S35" s="164">
        <f>S34-Table_Query_from_MS_Access_Database8[TOTAL OF AMOUNT]</f>
        <v>23641.169999999809</v>
      </c>
      <c r="T35" s="59"/>
    </row>
    <row r="36" spans="1:20" s="97" customFormat="1" ht="26.4" x14ac:dyDescent="0.3">
      <c r="A36" s="197" t="s">
        <v>244</v>
      </c>
      <c r="B36" s="197" t="s">
        <v>245</v>
      </c>
      <c r="C36" s="197" t="s">
        <v>144</v>
      </c>
      <c r="D36" s="197" t="s">
        <v>8</v>
      </c>
      <c r="E36" s="198" t="s">
        <v>246</v>
      </c>
      <c r="F36" s="199" t="str">
        <f>CONCATENATE(Table_Query_from_MS_Access_Database8[[#This Row],[RTE]],Table_Query_from_MS_Access_Database8[[#This Row],[SEC]],Table_Query_from_MS_Access_Database8[[#This Row],[SEQ]])</f>
        <v>CLG0207</v>
      </c>
      <c r="G36" s="198" t="s">
        <v>145</v>
      </c>
      <c r="H36" s="198" t="s">
        <v>137</v>
      </c>
      <c r="I36" s="198" t="s">
        <v>171</v>
      </c>
      <c r="J36" s="200"/>
      <c r="K36" s="200">
        <v>42888</v>
      </c>
      <c r="L36" s="200">
        <v>42930</v>
      </c>
      <c r="M36" s="200">
        <v>42947</v>
      </c>
      <c r="N36" s="201"/>
      <c r="O36" s="202"/>
      <c r="P36" s="202"/>
      <c r="Q36" s="202">
        <v>-51865</v>
      </c>
      <c r="R36" s="202">
        <f>+Table_Query_from_MS_Access_Database8[[#This Row],[HSIP]]+Table_Query_from_MS_Access_Database8[[#This Row],[PL]]+Table_Query_from_MS_Access_Database8[[#This Row],[SPR]]+Table_Query_from_MS_Access_Database8[[#This Row],[STP OTHER]]</f>
        <v>-51865</v>
      </c>
      <c r="S36" s="164">
        <f>S35-Table_Query_from_MS_Access_Database8[TOTAL OF AMOUNT]</f>
        <v>75506.169999999809</v>
      </c>
      <c r="T36" s="59"/>
    </row>
    <row r="37" spans="1:20" s="97" customFormat="1" ht="13.2" x14ac:dyDescent="0.3">
      <c r="A37" s="207" t="s">
        <v>190</v>
      </c>
      <c r="B37" s="207" t="s">
        <v>141</v>
      </c>
      <c r="C37" s="207" t="s">
        <v>109</v>
      </c>
      <c r="D37" s="207" t="s">
        <v>8</v>
      </c>
      <c r="E37" s="208" t="s">
        <v>191</v>
      </c>
      <c r="F37" s="209" t="str">
        <f>CONCATENATE(Table_Query_from_MS_Access_Database8[[#This Row],[RTE]],Table_Query_from_MS_Access_Database8[[#This Row],[SEC]],Table_Query_from_MS_Access_Database8[[#This Row],[SEQ]])</f>
        <v>SCMP018</v>
      </c>
      <c r="G37" s="208" t="s">
        <v>156</v>
      </c>
      <c r="H37" s="208" t="s">
        <v>143</v>
      </c>
      <c r="I37" s="208" t="s">
        <v>189</v>
      </c>
      <c r="J37" s="210"/>
      <c r="K37" s="210">
        <v>42974</v>
      </c>
      <c r="L37" s="210">
        <v>42992</v>
      </c>
      <c r="M37" s="210">
        <v>42992</v>
      </c>
      <c r="N37" s="211"/>
      <c r="O37" s="212">
        <v>53810.79</v>
      </c>
      <c r="P37" s="212"/>
      <c r="Q37" s="212"/>
      <c r="R37" s="212">
        <f>+Table_Query_from_MS_Access_Database8[[#This Row],[HSIP]]+Table_Query_from_MS_Access_Database8[[#This Row],[PL]]+Table_Query_from_MS_Access_Database8[[#This Row],[SPR]]+Table_Query_from_MS_Access_Database8[[#This Row],[STP OTHER]]</f>
        <v>53810.79</v>
      </c>
      <c r="S37" s="164">
        <f>S36-Table_Query_from_MS_Access_Database8[TOTAL OF AMOUNT]</f>
        <v>21695.379999999808</v>
      </c>
      <c r="T37" s="59"/>
    </row>
    <row r="38" spans="1:20" s="97" customFormat="1" ht="13.2" x14ac:dyDescent="0.3">
      <c r="A38" s="207" t="s">
        <v>155</v>
      </c>
      <c r="B38" s="207" t="s">
        <v>141</v>
      </c>
      <c r="C38" s="207" t="s">
        <v>109</v>
      </c>
      <c r="D38" s="207" t="s">
        <v>8</v>
      </c>
      <c r="E38" s="208" t="s">
        <v>186</v>
      </c>
      <c r="F38" s="209" t="str">
        <f>CONCATENATE(Table_Query_from_MS_Access_Database8[[#This Row],[RTE]],Table_Query_from_MS_Access_Database8[[#This Row],[SEC]],Table_Query_from_MS_Access_Database8[[#This Row],[SEQ]])</f>
        <v>SCMP017</v>
      </c>
      <c r="G38" s="208" t="s">
        <v>156</v>
      </c>
      <c r="H38" s="208" t="s">
        <v>143</v>
      </c>
      <c r="I38" s="208" t="s">
        <v>157</v>
      </c>
      <c r="J38" s="210"/>
      <c r="K38" s="210">
        <v>42974</v>
      </c>
      <c r="L38" s="210">
        <v>42992</v>
      </c>
      <c r="M38" s="210">
        <v>42992</v>
      </c>
      <c r="N38" s="211"/>
      <c r="O38" s="212">
        <v>-53810.79</v>
      </c>
      <c r="P38" s="212"/>
      <c r="Q38" s="212"/>
      <c r="R38" s="212">
        <f>+Table_Query_from_MS_Access_Database8[[#This Row],[HSIP]]+Table_Query_from_MS_Access_Database8[[#This Row],[PL]]+Table_Query_from_MS_Access_Database8[[#This Row],[SPR]]+Table_Query_from_MS_Access_Database8[[#This Row],[STP OTHER]]</f>
        <v>-53810.79</v>
      </c>
      <c r="S38" s="164">
        <f>S37-Table_Query_from_MS_Access_Database8[TOTAL OF AMOUNT]</f>
        <v>75506.169999999809</v>
      </c>
      <c r="T38" s="59"/>
    </row>
    <row r="39" spans="1:20" s="97" customFormat="1" ht="13.2" x14ac:dyDescent="0.3">
      <c r="A39" s="207" t="s">
        <v>187</v>
      </c>
      <c r="B39" s="207"/>
      <c r="C39" s="207" t="s">
        <v>109</v>
      </c>
      <c r="D39" s="207" t="s">
        <v>8</v>
      </c>
      <c r="E39" s="208" t="s">
        <v>188</v>
      </c>
      <c r="F39" s="209" t="str">
        <f>CONCATENATE(Table_Query_from_MS_Access_Database8[[#This Row],[RTE]],Table_Query_from_MS_Access_Database8[[#This Row],[SEC]],Table_Query_from_MS_Access_Database8[[#This Row],[SEQ]])</f>
        <v>SCMS018</v>
      </c>
      <c r="G39" s="208" t="s">
        <v>156</v>
      </c>
      <c r="H39" s="208" t="s">
        <v>185</v>
      </c>
      <c r="I39" s="208" t="s">
        <v>189</v>
      </c>
      <c r="J39" s="210"/>
      <c r="K39" s="210">
        <v>42990</v>
      </c>
      <c r="L39" s="210">
        <v>42992</v>
      </c>
      <c r="M39" s="210">
        <v>42993</v>
      </c>
      <c r="N39" s="211"/>
      <c r="O39" s="212"/>
      <c r="P39" s="212">
        <v>99146.76</v>
      </c>
      <c r="Q39" s="212"/>
      <c r="R39" s="212">
        <f>+Table_Query_from_MS_Access_Database8[[#This Row],[HSIP]]+Table_Query_from_MS_Access_Database8[[#This Row],[PL]]+Table_Query_from_MS_Access_Database8[[#This Row],[SPR]]+Table_Query_from_MS_Access_Database8[[#This Row],[STP OTHER]]</f>
        <v>99146.76</v>
      </c>
      <c r="S39" s="164">
        <f>S38-Table_Query_from_MS_Access_Database8[TOTAL OF AMOUNT]</f>
        <v>-23640.590000000186</v>
      </c>
      <c r="T39" s="59"/>
    </row>
    <row r="40" spans="1:20" s="97" customFormat="1" ht="13.2" x14ac:dyDescent="0.3">
      <c r="A40" s="207" t="s">
        <v>183</v>
      </c>
      <c r="B40" s="207"/>
      <c r="C40" s="207" t="s">
        <v>109</v>
      </c>
      <c r="D40" s="207" t="s">
        <v>8</v>
      </c>
      <c r="E40" s="208" t="s">
        <v>184</v>
      </c>
      <c r="F40" s="209" t="str">
        <f>CONCATENATE(Table_Query_from_MS_Access_Database8[[#This Row],[RTE]],Table_Query_from_MS_Access_Database8[[#This Row],[SEC]],Table_Query_from_MS_Access_Database8[[#This Row],[SEQ]])</f>
        <v>SCMS017</v>
      </c>
      <c r="G40" s="208" t="s">
        <v>156</v>
      </c>
      <c r="H40" s="208" t="s">
        <v>185</v>
      </c>
      <c r="I40" s="208" t="s">
        <v>157</v>
      </c>
      <c r="J40" s="210"/>
      <c r="K40" s="210">
        <v>42990</v>
      </c>
      <c r="L40" s="210">
        <v>42992</v>
      </c>
      <c r="M40" s="210">
        <v>42993</v>
      </c>
      <c r="N40" s="211"/>
      <c r="O40" s="212"/>
      <c r="P40" s="212">
        <v>-99146.76</v>
      </c>
      <c r="Q40" s="212"/>
      <c r="R40" s="212">
        <f>+Table_Query_from_MS_Access_Database8[[#This Row],[HSIP]]+Table_Query_from_MS_Access_Database8[[#This Row],[PL]]+Table_Query_from_MS_Access_Database8[[#This Row],[SPR]]+Table_Query_from_MS_Access_Database8[[#This Row],[STP OTHER]]</f>
        <v>-99146.76</v>
      </c>
      <c r="S40" s="164">
        <f>S39-Table_Query_from_MS_Access_Database8[TOTAL OF AMOUNT]</f>
        <v>75506.169999999809</v>
      </c>
      <c r="T40" s="59"/>
    </row>
    <row r="41" spans="1:20" s="54" customFormat="1" x14ac:dyDescent="0.3">
      <c r="A41" s="57"/>
      <c r="B41" s="57"/>
      <c r="C41" s="57"/>
      <c r="D41" s="57"/>
      <c r="E41" s="92"/>
      <c r="F41" s="92"/>
      <c r="G41" s="92"/>
      <c r="H41" s="92"/>
      <c r="I41" s="92"/>
      <c r="J41" s="92"/>
      <c r="K41" s="92"/>
      <c r="L41" s="92"/>
      <c r="M41" s="82" t="s">
        <v>86</v>
      </c>
      <c r="N41" s="112">
        <f>SUM(Table_Query_from_MS_Access_Database8[[#All],[HSIP]])</f>
        <v>238990.71000000002</v>
      </c>
      <c r="O41" s="112">
        <f>SUM(Table_Query_from_MS_Access_Database8[[#All],[PL]])</f>
        <v>104976.68</v>
      </c>
      <c r="P41" s="112">
        <f>SUM(Table_Query_from_MS_Access_Database8[[#All],[SPR]])</f>
        <v>118705.00000000001</v>
      </c>
      <c r="Q41" s="112">
        <f>SUM(Table_Query_from_MS_Access_Database8[[#All],[STP OTHER]])</f>
        <v>1228849.8700000001</v>
      </c>
      <c r="R41" s="112">
        <f>SUM(Table_Query_from_MS_Access_Database8[[#All],[TOTAL OF AMOUNT]])</f>
        <v>1691522.2599999998</v>
      </c>
      <c r="S41" s="113"/>
    </row>
    <row r="42" spans="1:20" s="54" customFormat="1" x14ac:dyDescent="0.3">
      <c r="A42" s="98"/>
      <c r="B42" s="98"/>
      <c r="C42" s="98"/>
      <c r="D42" s="98"/>
      <c r="E42" s="92"/>
      <c r="F42" s="92"/>
      <c r="G42" s="92"/>
      <c r="H42" s="92"/>
      <c r="I42" s="92"/>
      <c r="J42" s="92"/>
      <c r="K42" s="92"/>
      <c r="L42" s="92"/>
      <c r="M42" s="82" t="s">
        <v>85</v>
      </c>
      <c r="N42" s="108">
        <f>+N12-N41</f>
        <v>129361.28999999998</v>
      </c>
      <c r="O42" s="108">
        <f>+O12-O41</f>
        <v>13164.320000000007</v>
      </c>
      <c r="P42" s="108">
        <f>+P12-P41</f>
        <v>6294.9999999999854</v>
      </c>
      <c r="Q42" s="108">
        <f>+Q12-Q41</f>
        <v>0.12999999988824129</v>
      </c>
      <c r="R42" s="108">
        <f>+R12-R41</f>
        <v>148820.74000000022</v>
      </c>
      <c r="S42" s="105"/>
    </row>
    <row r="43" spans="1:20" x14ac:dyDescent="0.3">
      <c r="A43" s="93"/>
      <c r="B43" s="93"/>
      <c r="C43" s="93"/>
      <c r="D43" s="93"/>
      <c r="E43" s="94"/>
      <c r="F43" s="94"/>
      <c r="G43" s="94"/>
      <c r="H43" s="94"/>
      <c r="I43" s="94"/>
      <c r="J43" s="94"/>
      <c r="K43" s="94"/>
      <c r="L43" s="94"/>
      <c r="M43" s="93"/>
      <c r="N43" s="93"/>
      <c r="O43" s="93"/>
      <c r="P43" s="93"/>
      <c r="Q43" s="93"/>
      <c r="R43" s="93"/>
      <c r="S43" s="53"/>
    </row>
    <row r="44" spans="1:20" ht="16.8" x14ac:dyDescent="0.3">
      <c r="A44" s="215" t="s">
        <v>36</v>
      </c>
      <c r="B44" s="215"/>
      <c r="C44" s="215"/>
      <c r="D44" s="215"/>
      <c r="E44" s="58"/>
      <c r="F44" s="58"/>
      <c r="G44" s="93"/>
      <c r="H44" s="93"/>
      <c r="I44" s="93"/>
      <c r="J44" s="95"/>
      <c r="K44" s="53"/>
      <c r="L44" s="53"/>
      <c r="M44" s="53"/>
      <c r="N44" s="53"/>
      <c r="O44" s="53"/>
      <c r="P44" s="53"/>
      <c r="Q44" s="94"/>
      <c r="R44" s="94"/>
      <c r="S44" s="53"/>
    </row>
    <row r="45" spans="1:20" ht="39.6" x14ac:dyDescent="0.3">
      <c r="A45" s="90" t="s">
        <v>1</v>
      </c>
      <c r="B45" s="90" t="s">
        <v>0</v>
      </c>
      <c r="C45" s="90" t="s">
        <v>3</v>
      </c>
      <c r="D45" s="90" t="s">
        <v>94</v>
      </c>
      <c r="E45" s="90" t="s">
        <v>2</v>
      </c>
      <c r="F45" s="90" t="s">
        <v>60</v>
      </c>
      <c r="G45" s="90" t="s">
        <v>52</v>
      </c>
      <c r="H45" s="90" t="s">
        <v>53</v>
      </c>
      <c r="I45" s="90" t="s">
        <v>54</v>
      </c>
      <c r="J45" s="90" t="s">
        <v>55</v>
      </c>
      <c r="K45" s="90" t="s">
        <v>56</v>
      </c>
      <c r="L45" s="90" t="s">
        <v>57</v>
      </c>
      <c r="M45" s="90" t="s">
        <v>58</v>
      </c>
      <c r="N45" s="90" t="s">
        <v>4</v>
      </c>
      <c r="O45" s="90" t="s">
        <v>45</v>
      </c>
      <c r="P45" s="90" t="s">
        <v>5</v>
      </c>
      <c r="Q45" s="90" t="s">
        <v>59</v>
      </c>
      <c r="R45" s="90" t="s">
        <v>97</v>
      </c>
      <c r="S45" s="96" t="s">
        <v>61</v>
      </c>
    </row>
    <row r="46" spans="1:20" x14ac:dyDescent="0.3">
      <c r="A46" s="165"/>
      <c r="B46" s="147"/>
      <c r="C46" s="147"/>
      <c r="D46" s="147"/>
      <c r="E46" s="147"/>
      <c r="F46" s="148" t="str">
        <f>CONCATENATE(Table_Query_from_MS_Access_Database_1[[#This Row],[RTE]],Table_Query_from_MS_Access_Database_1[[#This Row],[SEC]],Table_Query_from_MS_Access_Database_1[[#This Row],[SEQ]])</f>
        <v/>
      </c>
      <c r="G46" s="148"/>
      <c r="H46" s="148"/>
      <c r="I46" s="148"/>
      <c r="J46" s="149"/>
      <c r="K46" s="149"/>
      <c r="L46" s="149"/>
      <c r="M46" s="150"/>
      <c r="N46" s="151"/>
      <c r="O46" s="151"/>
      <c r="P46" s="151"/>
      <c r="Q46" s="152"/>
      <c r="R46" s="151">
        <f>SUM(Table_Query_from_MS_Access_Database_1[[HSIP]:[STP OTHER]])</f>
        <v>0</v>
      </c>
      <c r="S46" s="153">
        <f>S40-Table_Query_from_MS_Access_Database_1[TOTAL OF AMOUNT]</f>
        <v>75506.169999999809</v>
      </c>
    </row>
    <row r="47" spans="1:20" x14ac:dyDescent="0.3">
      <c r="A47" s="57"/>
      <c r="B47" s="57"/>
      <c r="C47" s="57"/>
      <c r="D47" s="57"/>
      <c r="E47" s="57"/>
      <c r="F47" s="57"/>
      <c r="G47" s="57"/>
      <c r="H47" s="57"/>
      <c r="I47" s="57"/>
      <c r="J47" s="59"/>
      <c r="K47" s="59"/>
      <c r="L47" s="59"/>
      <c r="M47" s="84" t="s">
        <v>98</v>
      </c>
      <c r="N47" s="106">
        <f>SUM(Table_Query_from_MS_Access_Database_1[[#All],[HSIP]])</f>
        <v>0</v>
      </c>
      <c r="O47" s="106">
        <f>SUM(Table_Query_from_MS_Access_Database_1[[#All],[PL]])</f>
        <v>0</v>
      </c>
      <c r="P47" s="106">
        <f>SUM(Table_Query_from_MS_Access_Database_1[[#All],[SPR]])</f>
        <v>0</v>
      </c>
      <c r="Q47" s="106">
        <f>SUM(Table_Query_from_MS_Access_Database_1[[#All],[STP OTHER]])</f>
        <v>0</v>
      </c>
      <c r="R47" s="106">
        <f>SUM(Table_Query_from_MS_Access_Database_1[[#All],[TOTAL OF AMOUNT]])</f>
        <v>0</v>
      </c>
      <c r="S47" s="107"/>
    </row>
    <row r="48" spans="1:20" x14ac:dyDescent="0.3">
      <c r="A48" s="57"/>
      <c r="B48" s="57"/>
      <c r="C48" s="57"/>
      <c r="D48" s="57"/>
      <c r="E48" s="57"/>
      <c r="F48" s="57"/>
      <c r="G48" s="57"/>
      <c r="H48" s="57"/>
      <c r="I48" s="57"/>
      <c r="J48" s="59"/>
      <c r="K48" s="59"/>
      <c r="L48" s="59"/>
      <c r="M48" s="85" t="s">
        <v>85</v>
      </c>
      <c r="N48" s="108">
        <f>+N42-N47</f>
        <v>129361.28999999998</v>
      </c>
      <c r="O48" s="108">
        <f>+O42-O47</f>
        <v>13164.320000000007</v>
      </c>
      <c r="P48" s="108">
        <f>+P42-P47</f>
        <v>6294.9999999999854</v>
      </c>
      <c r="Q48" s="108">
        <f>+Q42-Q47</f>
        <v>0.12999999988824129</v>
      </c>
      <c r="R48" s="108">
        <f>+R42-R47</f>
        <v>148820.74000000022</v>
      </c>
      <c r="S48" s="109"/>
    </row>
    <row r="49" spans="1:19" x14ac:dyDescent="0.3">
      <c r="A49" s="54"/>
      <c r="B49" s="54"/>
      <c r="C49" s="54"/>
      <c r="D49" s="54"/>
      <c r="E49" s="54"/>
      <c r="F49" s="54"/>
      <c r="G49" s="54"/>
      <c r="H49" s="54"/>
      <c r="I49" s="54"/>
      <c r="J49" s="56"/>
      <c r="K49" s="56"/>
      <c r="L49" s="56"/>
      <c r="M49" s="56"/>
      <c r="N49" s="56"/>
      <c r="O49" s="56"/>
      <c r="P49" s="56"/>
      <c r="Q49" s="56"/>
      <c r="R49" s="54"/>
      <c r="S49" s="54"/>
    </row>
    <row r="50" spans="1:19" x14ac:dyDescent="0.3">
      <c r="A50" s="54"/>
      <c r="B50" s="54"/>
      <c r="C50" s="54"/>
      <c r="D50" s="54"/>
      <c r="E50" s="54"/>
      <c r="F50" s="54"/>
      <c r="G50" s="54"/>
      <c r="H50" s="54"/>
      <c r="I50" s="54"/>
      <c r="J50" s="56"/>
      <c r="K50" s="56"/>
      <c r="L50" s="56"/>
      <c r="M50" s="56"/>
      <c r="N50" s="56"/>
      <c r="O50" s="56"/>
      <c r="P50" s="56"/>
      <c r="Q50" s="56"/>
      <c r="R50" s="54"/>
      <c r="S50" s="54"/>
    </row>
    <row r="51" spans="1:19" ht="16.8" x14ac:dyDescent="0.3">
      <c r="A51" s="60" t="s">
        <v>87</v>
      </c>
      <c r="B51" s="54"/>
      <c r="C51" s="54"/>
      <c r="D51" s="54"/>
      <c r="E51" s="54"/>
      <c r="F51" s="54"/>
      <c r="G51" s="54"/>
      <c r="H51" s="54"/>
      <c r="I51" s="54"/>
      <c r="J51" s="56"/>
      <c r="K51" s="56"/>
      <c r="L51" s="56"/>
      <c r="M51" s="56"/>
      <c r="N51" s="213" t="s">
        <v>66</v>
      </c>
      <c r="O51" s="213"/>
      <c r="P51" s="213"/>
      <c r="Q51" s="213"/>
      <c r="R51" s="58"/>
      <c r="S51" s="54"/>
    </row>
    <row r="52" spans="1:19" x14ac:dyDescent="0.3">
      <c r="A52" s="54"/>
      <c r="B52" s="54"/>
      <c r="C52" s="54"/>
      <c r="D52" s="54"/>
      <c r="E52" s="54"/>
      <c r="F52" s="54"/>
      <c r="G52" s="54"/>
      <c r="H52" s="54"/>
      <c r="I52" s="54"/>
      <c r="J52" s="56"/>
      <c r="K52" s="56"/>
      <c r="L52" s="56"/>
      <c r="M52" s="86"/>
      <c r="N52" s="87" t="s">
        <v>4</v>
      </c>
      <c r="O52" s="87" t="s">
        <v>45</v>
      </c>
      <c r="P52" s="87" t="s">
        <v>5</v>
      </c>
      <c r="Q52" s="87" t="s">
        <v>67</v>
      </c>
      <c r="R52" s="87" t="s">
        <v>62</v>
      </c>
      <c r="S52" s="68" t="s">
        <v>68</v>
      </c>
    </row>
    <row r="53" spans="1:19" x14ac:dyDescent="0.3">
      <c r="A53" s="57"/>
      <c r="B53" s="57"/>
      <c r="C53" s="57"/>
      <c r="D53" s="57"/>
      <c r="E53" s="57"/>
      <c r="F53" s="57"/>
      <c r="G53" s="57"/>
      <c r="H53" s="57"/>
      <c r="I53" s="57"/>
      <c r="J53" s="59"/>
      <c r="K53" s="59"/>
      <c r="L53" s="59"/>
      <c r="M53" s="119" t="s">
        <v>173</v>
      </c>
      <c r="N53" s="103">
        <f>+N48</f>
        <v>129361.28999999998</v>
      </c>
      <c r="O53" s="103">
        <f>+O48</f>
        <v>13164.320000000007</v>
      </c>
      <c r="P53" s="103">
        <f>+P48</f>
        <v>6294.9999999999854</v>
      </c>
      <c r="Q53" s="103">
        <f>+Q48</f>
        <v>0.12999999988824129</v>
      </c>
      <c r="R53" s="103">
        <f>SUM(N53:Q53)</f>
        <v>148820.73999999987</v>
      </c>
      <c r="S53" s="103">
        <f>S40</f>
        <v>75506.169999999809</v>
      </c>
    </row>
    <row r="54" spans="1:19" x14ac:dyDescent="0.3">
      <c r="A54" s="57"/>
      <c r="B54" s="57"/>
      <c r="C54" s="57"/>
      <c r="D54" s="57"/>
      <c r="E54" s="57"/>
      <c r="F54" s="57"/>
      <c r="G54" s="57"/>
      <c r="H54" s="57"/>
      <c r="I54" s="57"/>
      <c r="J54" s="59"/>
      <c r="K54" s="59"/>
      <c r="L54" s="59"/>
      <c r="M54" s="119" t="s">
        <v>174</v>
      </c>
      <c r="N54" s="121">
        <f>SUMIFS(Table_Query_from_MS_Access_Database[[#All],[HSIP]],Table_Query_from_MS_Access_Database[[#All],[Transaction Year]],"2017",Table_Query_from_MS_Access_Database[[#All],[Transaction Type]],"Lapsing")</f>
        <v>0</v>
      </c>
      <c r="O54" s="121">
        <f>SUMIFS(Table_Query_from_MS_Access_Database[[#All],[PL]],Table_Query_from_MS_Access_Database[[#All],[Transaction Year]],"2017",Table_Query_from_MS_Access_Database[[#All],[Transaction Type]],"Lapsing")</f>
        <v>0</v>
      </c>
      <c r="P54" s="121">
        <f>SUMIFS(Table_Query_from_MS_Access_Database[[#All],[SPR]],Table_Query_from_MS_Access_Database[[#All],[Transaction Year]],"2017",Table_Query_from_MS_Access_Database[[#All],[Transaction Type]],"Lapsing")</f>
        <v>0</v>
      </c>
      <c r="Q54" s="121">
        <f>SUMIFS(Table_Query_from_MS_Access_Database[[#All],[STP other]],Table_Query_from_MS_Access_Database[[#All],[Transaction Year]],"2017",Table_Query_from_MS_Access_Database[[#All],[Transaction Type]],"Lapsing")</f>
        <v>0</v>
      </c>
      <c r="R54" s="121">
        <f>SUM(N54:Q54)</f>
        <v>0</v>
      </c>
      <c r="S54" s="121">
        <f>SUMIFS(Table_Query_from_MS_Access_Database_16[[#All],[Total]],Table_Query_from_MS_Access_Database_16[[#All],[Transaction Year]],"2017",Table_Query_from_MS_Access_Database_16[[#All],[Transaction Type]],"Lapsing")</f>
        <v>0</v>
      </c>
    </row>
    <row r="55" spans="1:19" x14ac:dyDescent="0.3">
      <c r="A55" s="57"/>
      <c r="B55" s="57"/>
      <c r="C55" s="57"/>
      <c r="D55" s="57"/>
      <c r="E55" s="57"/>
      <c r="F55" s="57"/>
      <c r="G55" s="57"/>
      <c r="H55" s="57"/>
      <c r="I55" s="57"/>
      <c r="J55" s="59"/>
      <c r="K55" s="59"/>
      <c r="L55" s="59"/>
      <c r="M55" s="119" t="s">
        <v>175</v>
      </c>
      <c r="N55" s="104">
        <f>SUM(N53:N54)-N56</f>
        <v>53855.119999999981</v>
      </c>
      <c r="O55" s="104">
        <f>SUM(O53:O54)</f>
        <v>13164.320000000007</v>
      </c>
      <c r="P55" s="104">
        <f>SUM(P53:P54)</f>
        <v>6294.9999999999854</v>
      </c>
      <c r="Q55" s="104">
        <f>SUM(Q53:Q54)-Q56</f>
        <v>0.12999999988824129</v>
      </c>
      <c r="R55" s="104">
        <f>SUM(N55:Q55)</f>
        <v>73314.569999999861</v>
      </c>
      <c r="S55" s="104">
        <v>0</v>
      </c>
    </row>
    <row r="56" spans="1:19" x14ac:dyDescent="0.3">
      <c r="A56" s="57"/>
      <c r="B56" s="57"/>
      <c r="C56" s="57"/>
      <c r="D56" s="57"/>
      <c r="E56" s="57"/>
      <c r="F56" s="57"/>
      <c r="G56" s="57"/>
      <c r="H56" s="57"/>
      <c r="I56" s="57"/>
      <c r="J56" s="59"/>
      <c r="K56" s="59"/>
      <c r="L56" s="59"/>
      <c r="M56" s="120" t="s">
        <v>176</v>
      </c>
      <c r="N56" s="122">
        <v>75506.17</v>
      </c>
      <c r="O56" s="122">
        <v>0</v>
      </c>
      <c r="P56" s="122">
        <v>0</v>
      </c>
      <c r="Q56" s="122">
        <v>0</v>
      </c>
      <c r="R56" s="122">
        <f>SUM(N56:Q56)</f>
        <v>75506.17</v>
      </c>
      <c r="S56" s="122">
        <v>75506.17</v>
      </c>
    </row>
    <row r="57" spans="1:19" x14ac:dyDescent="0.3">
      <c r="A57" s="54"/>
      <c r="B57" s="54"/>
      <c r="C57" s="54"/>
      <c r="D57" s="54"/>
      <c r="E57" s="54"/>
      <c r="F57" s="54"/>
      <c r="G57" s="54"/>
      <c r="H57" s="54"/>
      <c r="I57" s="54"/>
      <c r="J57" s="56"/>
      <c r="K57" s="56"/>
      <c r="L57" s="56"/>
      <c r="M57" s="56"/>
      <c r="N57" s="56"/>
      <c r="O57" s="56"/>
      <c r="P57" s="56"/>
      <c r="Q57" s="56"/>
      <c r="R57" s="54"/>
      <c r="S57" s="54"/>
    </row>
  </sheetData>
  <sheetProtection autoFilter="0"/>
  <mergeCells count="10">
    <mergeCell ref="N51:Q51"/>
    <mergeCell ref="A1:F1"/>
    <mergeCell ref="A14:D14"/>
    <mergeCell ref="A9:L9"/>
    <mergeCell ref="N1:S1"/>
    <mergeCell ref="A3:D3"/>
    <mergeCell ref="A4:D4"/>
    <mergeCell ref="J14:M14"/>
    <mergeCell ref="A44:D44"/>
    <mergeCell ref="N2:R2"/>
  </mergeCells>
  <pageMargins left="0.5" right="0.25" top="0.75" bottom="0.75" header="0.3" footer="0.3"/>
  <pageSetup paperSize="17" scale="63"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61"/>
  <sheetViews>
    <sheetView topLeftCell="A7" zoomScaleNormal="100" workbookViewId="0">
      <selection activeCell="E21" sqref="E21:E29"/>
    </sheetView>
  </sheetViews>
  <sheetFormatPr defaultColWidth="19.6640625" defaultRowHeight="14.4" x14ac:dyDescent="0.3"/>
  <cols>
    <col min="1" max="1" width="18.5546875" style="24" customWidth="1"/>
    <col min="2" max="2" width="19" style="24" customWidth="1"/>
    <col min="3" max="3" width="17.77734375" style="24" customWidth="1"/>
    <col min="4" max="4" width="18.44140625" style="24" customWidth="1"/>
    <col min="5" max="5" width="11.77734375" style="24" customWidth="1"/>
    <col min="6" max="6" width="10" style="24" customWidth="1"/>
    <col min="7" max="7" width="13.44140625" style="24" customWidth="1"/>
    <col min="8" max="8" width="11.77734375" style="25" customWidth="1"/>
    <col min="9" max="9" width="9.77734375" style="24" customWidth="1"/>
    <col min="10" max="10" width="10.77734375" style="24" customWidth="1"/>
    <col min="11" max="11" width="12.6640625" style="24" customWidth="1"/>
    <col min="12" max="12" width="16.5546875" style="24" customWidth="1"/>
    <col min="13" max="13" width="11.77734375" style="24" customWidth="1"/>
    <col min="14" max="14" width="15.6640625" style="24" customWidth="1"/>
    <col min="15" max="16" width="9.77734375" style="24" customWidth="1"/>
    <col min="17" max="17" width="23.109375" style="24" customWidth="1"/>
    <col min="18" max="18" width="40.21875" style="24" customWidth="1"/>
    <col min="19" max="20" width="9.5546875" style="24" customWidth="1"/>
    <col min="21" max="21" width="11.88671875" style="24" customWidth="1"/>
    <col min="22" max="22" width="64.33203125" style="24" customWidth="1"/>
    <col min="23" max="23" width="14" style="24" customWidth="1"/>
    <col min="24" max="24" width="16.88671875" style="24" customWidth="1"/>
    <col min="25" max="25" width="12.109375" style="24" customWidth="1"/>
    <col min="26" max="26" width="16" style="24" customWidth="1"/>
    <col min="27" max="16384" width="19.6640625" style="9"/>
  </cols>
  <sheetData>
    <row r="1" spans="1:26" ht="18.600000000000001" x14ac:dyDescent="0.35">
      <c r="A1" s="225" t="str">
        <f>+'Federal Funds Transactions'!A1:F1</f>
        <v>Sun Corridor Metropolitan Planning Organization</v>
      </c>
      <c r="B1" s="225"/>
      <c r="C1" s="225"/>
      <c r="D1" s="225"/>
      <c r="E1" s="225"/>
      <c r="F1" s="225"/>
    </row>
    <row r="2" spans="1:26" x14ac:dyDescent="0.35">
      <c r="A2" s="26"/>
      <c r="B2" s="26"/>
      <c r="C2" s="26"/>
      <c r="D2" s="26"/>
      <c r="E2" s="26"/>
      <c r="F2" s="26"/>
    </row>
    <row r="3" spans="1:26" x14ac:dyDescent="0.35">
      <c r="A3" s="226" t="s">
        <v>93</v>
      </c>
      <c r="B3" s="226"/>
      <c r="C3" s="226"/>
      <c r="D3" s="226"/>
      <c r="E3" s="226"/>
      <c r="F3" s="226"/>
    </row>
    <row r="4" spans="1:26" x14ac:dyDescent="0.35">
      <c r="A4" s="27"/>
      <c r="B4" s="27"/>
      <c r="C4" s="27"/>
      <c r="D4" s="27"/>
      <c r="E4" s="27"/>
      <c r="F4" s="27"/>
    </row>
    <row r="5" spans="1:26" x14ac:dyDescent="0.35">
      <c r="A5" s="24" t="s">
        <v>92</v>
      </c>
      <c r="B5" s="66">
        <f>+'Federal Funds Transactions'!C5</f>
        <v>42978</v>
      </c>
      <c r="C5" s="26"/>
      <c r="D5" s="26"/>
      <c r="E5" s="26"/>
      <c r="F5" s="26"/>
    </row>
    <row r="6" spans="1:26" x14ac:dyDescent="0.35">
      <c r="A6" s="26"/>
      <c r="B6" s="26"/>
      <c r="C6" s="26"/>
      <c r="D6" s="26"/>
      <c r="E6" s="26"/>
      <c r="F6" s="26"/>
    </row>
    <row r="7" spans="1:26" ht="15" customHeight="1" x14ac:dyDescent="0.35">
      <c r="A7" s="229" t="str">
        <f>+'Federal Funds Transactions'!A9:L9</f>
        <v>IMPORTANT! Please review the information in the Notes tab for further explanation of the data in this document.</v>
      </c>
      <c r="B7" s="229"/>
      <c r="C7" s="229"/>
      <c r="D7" s="229"/>
      <c r="E7" s="229"/>
      <c r="F7" s="229"/>
      <c r="G7" s="229"/>
      <c r="H7" s="229"/>
    </row>
    <row r="9" spans="1:26" ht="15.75" customHeight="1" x14ac:dyDescent="0.35">
      <c r="A9" s="227" t="s">
        <v>89</v>
      </c>
      <c r="B9" s="227"/>
      <c r="C9" s="227"/>
      <c r="D9" s="227"/>
      <c r="E9" s="227"/>
      <c r="F9" s="227"/>
      <c r="G9" s="227"/>
      <c r="M9" s="28"/>
      <c r="N9" s="28"/>
      <c r="O9" s="28"/>
      <c r="P9" s="28"/>
      <c r="Q9" s="28"/>
      <c r="R9" s="28"/>
      <c r="S9" s="28"/>
      <c r="T9" s="28"/>
      <c r="U9" s="28"/>
      <c r="V9" s="28"/>
      <c r="W9" s="28"/>
      <c r="X9" s="28"/>
    </row>
    <row r="10" spans="1:26" ht="15.6" x14ac:dyDescent="0.35">
      <c r="A10" s="29"/>
      <c r="B10" s="29"/>
      <c r="C10" s="29"/>
      <c r="D10" s="29"/>
      <c r="E10" s="30"/>
      <c r="F10" s="30"/>
      <c r="G10" s="30"/>
      <c r="H10" s="31"/>
      <c r="I10" s="30"/>
      <c r="J10" s="30"/>
      <c r="K10" s="30"/>
      <c r="L10" s="30"/>
      <c r="M10" s="28"/>
      <c r="N10" s="28"/>
      <c r="O10" s="28"/>
      <c r="P10" s="28"/>
      <c r="Q10" s="28"/>
      <c r="R10" s="28"/>
      <c r="S10" s="28"/>
      <c r="T10" s="28"/>
      <c r="U10" s="28"/>
      <c r="V10" s="28"/>
      <c r="W10" s="28"/>
      <c r="X10" s="28"/>
      <c r="Y10" s="30"/>
      <c r="Z10" s="30"/>
    </row>
    <row r="11" spans="1:26" x14ac:dyDescent="0.3">
      <c r="A11" s="74" t="s">
        <v>49</v>
      </c>
      <c r="B11" s="75" t="s">
        <v>50</v>
      </c>
      <c r="C11" s="75" t="s">
        <v>13</v>
      </c>
      <c r="D11" s="75" t="s">
        <v>51</v>
      </c>
      <c r="E11" s="75" t="s">
        <v>10</v>
      </c>
      <c r="F11" s="75" t="s">
        <v>43</v>
      </c>
      <c r="G11" s="75" t="s">
        <v>44</v>
      </c>
      <c r="H11" s="75" t="s">
        <v>4</v>
      </c>
      <c r="I11" s="75" t="s">
        <v>45</v>
      </c>
      <c r="J11" s="75" t="s">
        <v>5</v>
      </c>
      <c r="K11" s="75" t="s">
        <v>6</v>
      </c>
      <c r="L11" s="75" t="s">
        <v>46</v>
      </c>
      <c r="M11" s="75" t="s">
        <v>47</v>
      </c>
      <c r="N11" s="75" t="s">
        <v>48</v>
      </c>
      <c r="O11" s="75" t="s">
        <v>101</v>
      </c>
      <c r="P11" s="75" t="s">
        <v>102</v>
      </c>
      <c r="Q11" s="75" t="s">
        <v>103</v>
      </c>
      <c r="R11" s="76" t="s">
        <v>104</v>
      </c>
      <c r="S11" s="30"/>
      <c r="T11" s="30"/>
      <c r="U11" s="30"/>
      <c r="V11" s="30"/>
      <c r="W11" s="9"/>
      <c r="X11" s="9"/>
      <c r="Y11" s="9"/>
      <c r="Z11" s="9"/>
    </row>
    <row r="12" spans="1:26" x14ac:dyDescent="0.3">
      <c r="A12" s="64" t="s">
        <v>110</v>
      </c>
      <c r="B12" s="62" t="s">
        <v>125</v>
      </c>
      <c r="C12" s="62" t="s">
        <v>126</v>
      </c>
      <c r="D12" s="62" t="s">
        <v>113</v>
      </c>
      <c r="E12" s="62">
        <v>-86599.75</v>
      </c>
      <c r="F12" s="62"/>
      <c r="G12" s="62"/>
      <c r="H12" s="62">
        <v>-25561</v>
      </c>
      <c r="I12" s="62">
        <v>-5973</v>
      </c>
      <c r="J12" s="62">
        <v>-15245.75</v>
      </c>
      <c r="K12" s="62">
        <v>-39820</v>
      </c>
      <c r="L12" s="62"/>
      <c r="M12" s="62"/>
      <c r="N12" s="62"/>
      <c r="O12" s="62" t="s">
        <v>109</v>
      </c>
      <c r="P12" s="62" t="s">
        <v>122</v>
      </c>
      <c r="Q12" s="62"/>
      <c r="R12" s="65" t="s">
        <v>127</v>
      </c>
      <c r="S12" s="73"/>
      <c r="T12" s="73"/>
      <c r="U12" s="73"/>
      <c r="V12" s="73"/>
      <c r="W12" s="9"/>
      <c r="X12" s="9"/>
      <c r="Y12" s="9"/>
      <c r="Z12" s="9"/>
    </row>
    <row r="13" spans="1:26" x14ac:dyDescent="0.3">
      <c r="A13" s="63" t="s">
        <v>110</v>
      </c>
      <c r="B13" s="61" t="s">
        <v>108</v>
      </c>
      <c r="C13" s="61" t="s">
        <v>116</v>
      </c>
      <c r="D13" s="61" t="s">
        <v>118</v>
      </c>
      <c r="E13" s="61">
        <v>127122</v>
      </c>
      <c r="F13" s="61"/>
      <c r="G13" s="61"/>
      <c r="H13" s="61">
        <v>127122</v>
      </c>
      <c r="I13" s="61"/>
      <c r="J13" s="61"/>
      <c r="K13" s="61"/>
      <c r="L13" s="61"/>
      <c r="M13" s="61"/>
      <c r="N13" s="61"/>
      <c r="O13" s="61" t="s">
        <v>117</v>
      </c>
      <c r="P13" s="61" t="s">
        <v>109</v>
      </c>
      <c r="Q13" s="61" t="s">
        <v>119</v>
      </c>
      <c r="R13" s="189" t="s">
        <v>120</v>
      </c>
      <c r="S13" s="73"/>
      <c r="T13" s="73"/>
      <c r="U13" s="73"/>
      <c r="V13" s="73"/>
      <c r="W13" s="9"/>
      <c r="X13" s="9"/>
      <c r="Y13" s="9"/>
      <c r="Z13" s="9"/>
    </row>
    <row r="14" spans="1:26" x14ac:dyDescent="0.3">
      <c r="A14" s="63" t="s">
        <v>110</v>
      </c>
      <c r="B14" s="61" t="s">
        <v>96</v>
      </c>
      <c r="C14" s="61" t="s">
        <v>111</v>
      </c>
      <c r="D14" s="61" t="s">
        <v>113</v>
      </c>
      <c r="E14" s="61">
        <v>158061</v>
      </c>
      <c r="F14" s="61"/>
      <c r="G14" s="61"/>
      <c r="H14" s="61"/>
      <c r="I14" s="61"/>
      <c r="J14" s="61"/>
      <c r="K14" s="61">
        <v>158061</v>
      </c>
      <c r="L14" s="61"/>
      <c r="M14" s="61"/>
      <c r="N14" s="61"/>
      <c r="O14" s="61" t="s">
        <v>112</v>
      </c>
      <c r="P14" s="61" t="s">
        <v>109</v>
      </c>
      <c r="Q14" s="61" t="s">
        <v>114</v>
      </c>
      <c r="R14" s="189" t="s">
        <v>115</v>
      </c>
      <c r="S14" s="73"/>
      <c r="T14" s="73"/>
      <c r="U14" s="73"/>
      <c r="V14" s="73"/>
      <c r="W14" s="9"/>
      <c r="X14" s="9"/>
      <c r="Y14" s="9"/>
      <c r="Z14" s="9"/>
    </row>
    <row r="15" spans="1:26" x14ac:dyDescent="0.3">
      <c r="A15" s="130" t="s">
        <v>128</v>
      </c>
      <c r="B15" s="131" t="s">
        <v>108</v>
      </c>
      <c r="C15" s="131" t="s">
        <v>129</v>
      </c>
      <c r="D15" s="131" t="s">
        <v>118</v>
      </c>
      <c r="E15" s="131">
        <v>280053</v>
      </c>
      <c r="F15" s="131"/>
      <c r="G15" s="131"/>
      <c r="H15" s="131"/>
      <c r="I15" s="131"/>
      <c r="J15" s="131"/>
      <c r="K15" s="131">
        <v>280053</v>
      </c>
      <c r="L15" s="131"/>
      <c r="M15" s="131"/>
      <c r="N15" s="131"/>
      <c r="O15" s="131" t="s">
        <v>130</v>
      </c>
      <c r="P15" s="131" t="s">
        <v>109</v>
      </c>
      <c r="Q15" s="131"/>
      <c r="R15" s="132" t="s">
        <v>131</v>
      </c>
      <c r="S15" s="73"/>
      <c r="T15" s="73"/>
      <c r="U15" s="73"/>
      <c r="V15" s="73"/>
      <c r="W15" s="9"/>
      <c r="X15" s="9"/>
      <c r="Y15" s="9"/>
      <c r="Z15" s="9"/>
    </row>
    <row r="16" spans="1:26" x14ac:dyDescent="0.3">
      <c r="A16" s="186" t="s">
        <v>128</v>
      </c>
      <c r="B16" s="188" t="s">
        <v>132</v>
      </c>
      <c r="C16" s="188" t="s">
        <v>133</v>
      </c>
      <c r="D16" s="188" t="s">
        <v>134</v>
      </c>
      <c r="E16" s="188">
        <v>-113148</v>
      </c>
      <c r="F16" s="188"/>
      <c r="G16" s="188"/>
      <c r="H16" s="188">
        <v>-113148</v>
      </c>
      <c r="I16" s="188"/>
      <c r="J16" s="188"/>
      <c r="K16" s="188"/>
      <c r="L16" s="188"/>
      <c r="M16" s="188"/>
      <c r="N16" s="188"/>
      <c r="O16" s="188" t="s">
        <v>109</v>
      </c>
      <c r="P16" s="188" t="s">
        <v>112</v>
      </c>
      <c r="Q16" s="188"/>
      <c r="R16" s="191" t="s">
        <v>135</v>
      </c>
      <c r="S16" s="73"/>
      <c r="T16" s="73"/>
      <c r="U16" s="73"/>
      <c r="V16" s="73"/>
      <c r="W16" s="9"/>
      <c r="X16" s="9"/>
      <c r="Y16" s="9"/>
      <c r="Z16" s="9"/>
    </row>
    <row r="17" spans="1:26" x14ac:dyDescent="0.3">
      <c r="A17" s="137" t="s">
        <v>118</v>
      </c>
      <c r="B17" s="139" t="s">
        <v>132</v>
      </c>
      <c r="C17" s="139" t="s">
        <v>152</v>
      </c>
      <c r="D17" s="139" t="s">
        <v>134</v>
      </c>
      <c r="E17" s="139">
        <v>-70069</v>
      </c>
      <c r="F17" s="139"/>
      <c r="G17" s="139"/>
      <c r="H17" s="139">
        <v>-70069</v>
      </c>
      <c r="I17" s="139"/>
      <c r="J17" s="139"/>
      <c r="K17" s="139"/>
      <c r="L17" s="139"/>
      <c r="M17" s="139"/>
      <c r="N17" s="139"/>
      <c r="O17" s="139" t="s">
        <v>109</v>
      </c>
      <c r="P17" s="139" t="s">
        <v>122</v>
      </c>
      <c r="Q17" s="139" t="s">
        <v>153</v>
      </c>
      <c r="R17" s="141" t="s">
        <v>154</v>
      </c>
      <c r="S17" s="73"/>
      <c r="T17" s="73"/>
      <c r="U17" s="73"/>
      <c r="V17" s="73"/>
      <c r="W17" s="9"/>
      <c r="X17" s="9"/>
      <c r="Y17" s="9"/>
      <c r="Z17" s="9"/>
    </row>
    <row r="18" spans="1:26" x14ac:dyDescent="0.3">
      <c r="A18" s="185" t="s">
        <v>118</v>
      </c>
      <c r="B18" s="187" t="s">
        <v>132</v>
      </c>
      <c r="C18" s="187" t="s">
        <v>149</v>
      </c>
      <c r="D18" s="187" t="s">
        <v>134</v>
      </c>
      <c r="E18" s="187">
        <v>-633480</v>
      </c>
      <c r="F18" s="187"/>
      <c r="G18" s="187"/>
      <c r="H18" s="187"/>
      <c r="I18" s="187"/>
      <c r="J18" s="187"/>
      <c r="K18" s="187">
        <v>-633480</v>
      </c>
      <c r="L18" s="187"/>
      <c r="M18" s="187"/>
      <c r="N18" s="187"/>
      <c r="O18" s="187" t="s">
        <v>109</v>
      </c>
      <c r="P18" s="187" t="s">
        <v>150</v>
      </c>
      <c r="Q18" s="187"/>
      <c r="R18" s="190" t="s">
        <v>151</v>
      </c>
      <c r="S18" s="73"/>
      <c r="T18" s="73"/>
      <c r="U18" s="73"/>
      <c r="V18" s="73"/>
      <c r="W18" s="9"/>
      <c r="X18" s="9"/>
      <c r="Y18" s="9"/>
      <c r="Z18" s="9"/>
    </row>
    <row r="19" spans="1:26" x14ac:dyDescent="0.3">
      <c r="A19" s="179" t="s">
        <v>118</v>
      </c>
      <c r="B19" s="180" t="s">
        <v>95</v>
      </c>
      <c r="C19" s="180" t="s">
        <v>129</v>
      </c>
      <c r="D19" s="180" t="s">
        <v>118</v>
      </c>
      <c r="E19" s="180">
        <v>-280053</v>
      </c>
      <c r="F19" s="180"/>
      <c r="G19" s="180"/>
      <c r="H19" s="180"/>
      <c r="I19" s="180"/>
      <c r="J19" s="180"/>
      <c r="K19" s="180">
        <v>-280053</v>
      </c>
      <c r="L19" s="180"/>
      <c r="M19" s="180"/>
      <c r="N19" s="180"/>
      <c r="O19" s="180" t="s">
        <v>109</v>
      </c>
      <c r="P19" s="180" t="s">
        <v>130</v>
      </c>
      <c r="Q19" s="180"/>
      <c r="R19" s="181" t="s">
        <v>131</v>
      </c>
      <c r="S19" s="73"/>
      <c r="T19" s="73"/>
      <c r="U19" s="73"/>
      <c r="V19" s="73"/>
      <c r="W19" s="9"/>
      <c r="X19" s="9"/>
      <c r="Y19" s="9"/>
      <c r="Z19" s="9"/>
    </row>
    <row r="20" spans="1:26" x14ac:dyDescent="0.3">
      <c r="A20" s="185" t="s">
        <v>118</v>
      </c>
      <c r="B20" s="187" t="s">
        <v>95</v>
      </c>
      <c r="C20" s="187" t="s">
        <v>116</v>
      </c>
      <c r="D20" s="187"/>
      <c r="E20" s="187">
        <v>-127122</v>
      </c>
      <c r="F20" s="187"/>
      <c r="G20" s="187"/>
      <c r="H20" s="187">
        <v>-127122</v>
      </c>
      <c r="I20" s="187"/>
      <c r="J20" s="187"/>
      <c r="K20" s="187"/>
      <c r="L20" s="187"/>
      <c r="M20" s="187"/>
      <c r="N20" s="187"/>
      <c r="O20" s="187" t="s">
        <v>109</v>
      </c>
      <c r="P20" s="187" t="s">
        <v>117</v>
      </c>
      <c r="Q20" s="187" t="s">
        <v>119</v>
      </c>
      <c r="R20" s="190" t="s">
        <v>121</v>
      </c>
      <c r="S20" s="73"/>
      <c r="T20" s="73"/>
      <c r="U20" s="73"/>
      <c r="V20" s="73"/>
      <c r="W20" s="9"/>
      <c r="X20" s="9"/>
      <c r="Y20" s="9"/>
      <c r="Z20" s="9"/>
    </row>
    <row r="21" spans="1:26" x14ac:dyDescent="0.3">
      <c r="A21" s="167" t="s">
        <v>134</v>
      </c>
      <c r="B21" s="168" t="s">
        <v>108</v>
      </c>
      <c r="C21" s="168" t="s">
        <v>177</v>
      </c>
      <c r="D21" s="168" t="s">
        <v>178</v>
      </c>
      <c r="E21" s="168">
        <v>151000</v>
      </c>
      <c r="F21" s="168"/>
      <c r="G21" s="168"/>
      <c r="H21" s="168"/>
      <c r="I21" s="168"/>
      <c r="J21" s="168"/>
      <c r="K21" s="168">
        <v>151000</v>
      </c>
      <c r="L21" s="168"/>
      <c r="M21" s="168"/>
      <c r="N21" s="168"/>
      <c r="O21" s="168" t="s">
        <v>130</v>
      </c>
      <c r="P21" s="168" t="s">
        <v>109</v>
      </c>
      <c r="Q21" s="168" t="s">
        <v>179</v>
      </c>
      <c r="R21" s="169" t="s">
        <v>180</v>
      </c>
      <c r="S21" s="73"/>
      <c r="T21" s="73"/>
      <c r="U21" s="73"/>
      <c r="V21" s="73"/>
      <c r="W21" s="9"/>
      <c r="X21" s="9"/>
      <c r="Y21" s="9"/>
      <c r="Z21" s="9"/>
    </row>
    <row r="22" spans="1:26" x14ac:dyDescent="0.3">
      <c r="A22" s="123" t="s">
        <v>134</v>
      </c>
      <c r="B22" s="124" t="s">
        <v>132</v>
      </c>
      <c r="C22" s="124" t="s">
        <v>215</v>
      </c>
      <c r="D22" s="124" t="s">
        <v>178</v>
      </c>
      <c r="E22" s="124">
        <v>-132200</v>
      </c>
      <c r="F22" s="124"/>
      <c r="G22" s="124"/>
      <c r="H22" s="124">
        <v>-132200</v>
      </c>
      <c r="I22" s="124"/>
      <c r="J22" s="124"/>
      <c r="K22" s="124"/>
      <c r="L22" s="124"/>
      <c r="M22" s="124"/>
      <c r="N22" s="124"/>
      <c r="O22" s="124" t="s">
        <v>109</v>
      </c>
      <c r="P22" s="124" t="s">
        <v>122</v>
      </c>
      <c r="Q22" s="124"/>
      <c r="R22" s="125" t="s">
        <v>154</v>
      </c>
      <c r="S22" s="73"/>
      <c r="T22" s="73"/>
      <c r="U22" s="73"/>
      <c r="V22" s="73"/>
      <c r="W22" s="9"/>
      <c r="X22" s="9"/>
      <c r="Y22" s="9"/>
      <c r="Z22" s="9"/>
    </row>
    <row r="23" spans="1:26" x14ac:dyDescent="0.3">
      <c r="A23" s="179" t="s">
        <v>134</v>
      </c>
      <c r="B23" s="180" t="s">
        <v>132</v>
      </c>
      <c r="C23" s="180" t="s">
        <v>234</v>
      </c>
      <c r="D23" s="180" t="s">
        <v>178</v>
      </c>
      <c r="E23" s="180">
        <v>-73889</v>
      </c>
      <c r="F23" s="180"/>
      <c r="G23" s="180"/>
      <c r="H23" s="180">
        <v>-73889</v>
      </c>
      <c r="I23" s="180"/>
      <c r="J23" s="180"/>
      <c r="K23" s="180"/>
      <c r="L23" s="180"/>
      <c r="M23" s="180"/>
      <c r="N23" s="180"/>
      <c r="O23" s="180" t="s">
        <v>109</v>
      </c>
      <c r="P23" s="180" t="s">
        <v>122</v>
      </c>
      <c r="Q23" s="180"/>
      <c r="R23" s="181" t="s">
        <v>154</v>
      </c>
      <c r="S23" s="73"/>
      <c r="T23" s="73"/>
      <c r="U23" s="73"/>
      <c r="V23" s="73"/>
      <c r="W23" s="9"/>
      <c r="X23" s="9"/>
      <c r="Y23" s="9"/>
      <c r="Z23" s="9"/>
    </row>
    <row r="24" spans="1:26" x14ac:dyDescent="0.3">
      <c r="A24" s="133" t="s">
        <v>134</v>
      </c>
      <c r="B24" s="134" t="s">
        <v>132</v>
      </c>
      <c r="C24" s="134" t="s">
        <v>219</v>
      </c>
      <c r="D24" s="134" t="s">
        <v>235</v>
      </c>
      <c r="E24" s="134">
        <v>-196124</v>
      </c>
      <c r="F24" s="134"/>
      <c r="G24" s="134"/>
      <c r="H24" s="134"/>
      <c r="I24" s="134"/>
      <c r="J24" s="134"/>
      <c r="K24" s="134">
        <v>-196124</v>
      </c>
      <c r="L24" s="134"/>
      <c r="M24" s="134"/>
      <c r="N24" s="134"/>
      <c r="O24" s="134" t="s">
        <v>109</v>
      </c>
      <c r="P24" s="134" t="s">
        <v>150</v>
      </c>
      <c r="Q24" s="134"/>
      <c r="R24" s="135" t="s">
        <v>151</v>
      </c>
      <c r="S24" s="73"/>
      <c r="T24" s="73"/>
      <c r="U24" s="73"/>
      <c r="V24" s="73"/>
      <c r="W24" s="9"/>
      <c r="X24" s="9"/>
      <c r="Y24" s="9"/>
      <c r="Z24" s="9"/>
    </row>
    <row r="25" spans="1:26" x14ac:dyDescent="0.3">
      <c r="A25" s="167" t="s">
        <v>134</v>
      </c>
      <c r="B25" s="168" t="s">
        <v>136</v>
      </c>
      <c r="C25" s="168" t="s">
        <v>133</v>
      </c>
      <c r="D25" s="168" t="s">
        <v>134</v>
      </c>
      <c r="E25" s="168">
        <v>113148</v>
      </c>
      <c r="F25" s="168"/>
      <c r="G25" s="168"/>
      <c r="H25" s="168">
        <v>113148</v>
      </c>
      <c r="I25" s="168"/>
      <c r="J25" s="168"/>
      <c r="K25" s="168"/>
      <c r="L25" s="168"/>
      <c r="M25" s="168"/>
      <c r="N25" s="168"/>
      <c r="O25" s="168" t="s">
        <v>112</v>
      </c>
      <c r="P25" s="168" t="s">
        <v>109</v>
      </c>
      <c r="Q25" s="168"/>
      <c r="R25" s="169" t="s">
        <v>135</v>
      </c>
      <c r="S25" s="73"/>
      <c r="T25" s="73"/>
      <c r="U25" s="73"/>
      <c r="V25" s="73"/>
      <c r="W25" s="9"/>
      <c r="X25" s="9"/>
      <c r="Y25" s="9"/>
      <c r="Z25" s="9"/>
    </row>
    <row r="26" spans="1:26" x14ac:dyDescent="0.3">
      <c r="A26" s="133" t="s">
        <v>134</v>
      </c>
      <c r="B26" s="134" t="s">
        <v>136</v>
      </c>
      <c r="C26" s="134" t="s">
        <v>152</v>
      </c>
      <c r="D26" s="134" t="s">
        <v>134</v>
      </c>
      <c r="E26" s="134">
        <v>70069</v>
      </c>
      <c r="F26" s="134"/>
      <c r="G26" s="134"/>
      <c r="H26" s="134">
        <v>70069</v>
      </c>
      <c r="I26" s="134"/>
      <c r="J26" s="134"/>
      <c r="K26" s="134"/>
      <c r="L26" s="134"/>
      <c r="M26" s="134"/>
      <c r="N26" s="134"/>
      <c r="O26" s="134" t="s">
        <v>122</v>
      </c>
      <c r="P26" s="134" t="s">
        <v>109</v>
      </c>
      <c r="Q26" s="134" t="s">
        <v>153</v>
      </c>
      <c r="R26" s="135" t="s">
        <v>154</v>
      </c>
      <c r="S26" s="73"/>
      <c r="T26" s="73"/>
      <c r="U26" s="73"/>
      <c r="V26" s="73"/>
      <c r="W26" s="9"/>
      <c r="X26" s="9"/>
      <c r="Y26" s="9"/>
      <c r="Z26" s="9"/>
    </row>
    <row r="27" spans="1:26" x14ac:dyDescent="0.3">
      <c r="A27" s="144" t="s">
        <v>134</v>
      </c>
      <c r="B27" s="145" t="s">
        <v>136</v>
      </c>
      <c r="C27" s="145" t="s">
        <v>149</v>
      </c>
      <c r="D27" s="145" t="s">
        <v>134</v>
      </c>
      <c r="E27" s="145">
        <v>633480</v>
      </c>
      <c r="F27" s="145"/>
      <c r="G27" s="145"/>
      <c r="H27" s="145"/>
      <c r="I27" s="145"/>
      <c r="J27" s="145"/>
      <c r="K27" s="145">
        <v>633480</v>
      </c>
      <c r="L27" s="145"/>
      <c r="M27" s="145"/>
      <c r="N27" s="145"/>
      <c r="O27" s="145" t="s">
        <v>150</v>
      </c>
      <c r="P27" s="145" t="s">
        <v>109</v>
      </c>
      <c r="Q27" s="145"/>
      <c r="R27" s="146" t="s">
        <v>151</v>
      </c>
      <c r="S27" s="73"/>
      <c r="T27" s="73"/>
      <c r="U27" s="73"/>
      <c r="V27" s="73"/>
      <c r="W27" s="9"/>
      <c r="X27" s="9"/>
      <c r="Y27" s="9"/>
      <c r="Z27" s="9"/>
    </row>
    <row r="28" spans="1:26" x14ac:dyDescent="0.3">
      <c r="A28" s="154" t="s">
        <v>134</v>
      </c>
      <c r="B28" s="155" t="s">
        <v>96</v>
      </c>
      <c r="C28" s="155" t="s">
        <v>212</v>
      </c>
      <c r="D28" s="155" t="s">
        <v>113</v>
      </c>
      <c r="E28" s="155">
        <v>20000</v>
      </c>
      <c r="F28" s="155"/>
      <c r="G28" s="155"/>
      <c r="H28" s="155">
        <v>20000</v>
      </c>
      <c r="I28" s="155"/>
      <c r="J28" s="155"/>
      <c r="K28" s="155"/>
      <c r="L28" s="155"/>
      <c r="M28" s="155"/>
      <c r="N28" s="155"/>
      <c r="O28" s="183" t="s">
        <v>112</v>
      </c>
      <c r="P28" s="183" t="s">
        <v>109</v>
      </c>
      <c r="Q28" s="183" t="s">
        <v>213</v>
      </c>
      <c r="R28" s="184" t="s">
        <v>214</v>
      </c>
      <c r="S28" s="73"/>
      <c r="T28" s="73"/>
      <c r="U28" s="73"/>
      <c r="V28" s="73"/>
      <c r="W28" s="9"/>
      <c r="X28" s="9"/>
      <c r="Y28" s="9"/>
      <c r="Z28" s="9"/>
    </row>
    <row r="29" spans="1:26" x14ac:dyDescent="0.3">
      <c r="A29" s="182" t="s">
        <v>134</v>
      </c>
      <c r="B29" s="183" t="s">
        <v>96</v>
      </c>
      <c r="C29" s="183" t="s">
        <v>216</v>
      </c>
      <c r="D29" s="183" t="s">
        <v>113</v>
      </c>
      <c r="E29" s="183">
        <v>105000</v>
      </c>
      <c r="F29" s="183"/>
      <c r="G29" s="183"/>
      <c r="H29" s="183">
        <v>105000</v>
      </c>
      <c r="I29" s="183"/>
      <c r="J29" s="183"/>
      <c r="K29" s="183"/>
      <c r="L29" s="183"/>
      <c r="M29" s="183"/>
      <c r="N29" s="183"/>
      <c r="O29" s="183" t="s">
        <v>150</v>
      </c>
      <c r="P29" s="183" t="s">
        <v>109</v>
      </c>
      <c r="Q29" s="183" t="s">
        <v>217</v>
      </c>
      <c r="R29" s="184" t="s">
        <v>218</v>
      </c>
      <c r="S29" s="73"/>
      <c r="T29" s="73"/>
      <c r="U29" s="73"/>
      <c r="V29" s="73"/>
      <c r="W29" s="9"/>
      <c r="X29" s="9"/>
      <c r="Y29" s="9"/>
      <c r="Z29" s="9"/>
    </row>
    <row r="30" spans="1:26" x14ac:dyDescent="0.3">
      <c r="A30" s="133" t="s">
        <v>134</v>
      </c>
      <c r="B30" s="134" t="s">
        <v>198</v>
      </c>
      <c r="C30" s="134" t="s">
        <v>199</v>
      </c>
      <c r="D30" s="134" t="s">
        <v>113</v>
      </c>
      <c r="E30" s="134">
        <v>-287704</v>
      </c>
      <c r="F30" s="134"/>
      <c r="G30" s="134"/>
      <c r="H30" s="134">
        <v>-287704</v>
      </c>
      <c r="I30" s="134"/>
      <c r="J30" s="134"/>
      <c r="K30" s="134"/>
      <c r="L30" s="134"/>
      <c r="M30" s="134"/>
      <c r="N30" s="134"/>
      <c r="O30" s="134" t="s">
        <v>109</v>
      </c>
      <c r="P30" s="134" t="s">
        <v>122</v>
      </c>
      <c r="Q30" s="134" t="s">
        <v>158</v>
      </c>
      <c r="R30" s="135" t="s">
        <v>200</v>
      </c>
      <c r="S30" s="73"/>
      <c r="T30" s="73"/>
      <c r="U30" s="73"/>
      <c r="V30" s="73"/>
      <c r="W30" s="9"/>
      <c r="X30" s="9"/>
      <c r="Y30" s="9"/>
      <c r="Z30" s="9"/>
    </row>
    <row r="31" spans="1:26" x14ac:dyDescent="0.3">
      <c r="A31" s="154" t="s">
        <v>178</v>
      </c>
      <c r="B31" s="155" t="s">
        <v>136</v>
      </c>
      <c r="C31" s="155" t="s">
        <v>215</v>
      </c>
      <c r="D31" s="155" t="s">
        <v>178</v>
      </c>
      <c r="E31" s="155">
        <v>132200</v>
      </c>
      <c r="F31" s="155"/>
      <c r="G31" s="155"/>
      <c r="H31" s="155">
        <v>132200</v>
      </c>
      <c r="I31" s="155"/>
      <c r="J31" s="155"/>
      <c r="K31" s="155"/>
      <c r="L31" s="155"/>
      <c r="M31" s="155"/>
      <c r="N31" s="155"/>
      <c r="O31" s="155" t="s">
        <v>122</v>
      </c>
      <c r="P31" s="155" t="s">
        <v>109</v>
      </c>
      <c r="Q31" s="155"/>
      <c r="R31" s="156" t="s">
        <v>154</v>
      </c>
      <c r="S31" s="73"/>
      <c r="T31" s="73"/>
      <c r="U31" s="73"/>
      <c r="V31" s="73"/>
      <c r="W31" s="9"/>
      <c r="X31" s="9"/>
      <c r="Y31" s="9"/>
      <c r="Z31" s="9"/>
    </row>
    <row r="32" spans="1:26" x14ac:dyDescent="0.3">
      <c r="A32" s="138" t="s">
        <v>178</v>
      </c>
      <c r="B32" s="140" t="s">
        <v>136</v>
      </c>
      <c r="C32" s="140" t="s">
        <v>234</v>
      </c>
      <c r="D32" s="140" t="s">
        <v>178</v>
      </c>
      <c r="E32" s="140">
        <v>73889</v>
      </c>
      <c r="F32" s="140"/>
      <c r="G32" s="140"/>
      <c r="H32" s="140">
        <v>73889</v>
      </c>
      <c r="I32" s="140"/>
      <c r="J32" s="140"/>
      <c r="K32" s="140"/>
      <c r="L32" s="140"/>
      <c r="M32" s="140"/>
      <c r="N32" s="140"/>
      <c r="O32" s="140" t="s">
        <v>122</v>
      </c>
      <c r="P32" s="140" t="s">
        <v>109</v>
      </c>
      <c r="Q32" s="140"/>
      <c r="R32" s="142" t="s">
        <v>154</v>
      </c>
      <c r="S32" s="73"/>
      <c r="T32" s="73"/>
      <c r="U32" s="73"/>
      <c r="V32" s="73"/>
      <c r="W32" s="9"/>
      <c r="X32" s="9"/>
      <c r="Y32" s="9"/>
      <c r="Z32" s="9"/>
    </row>
    <row r="33" spans="1:26" x14ac:dyDescent="0.3">
      <c r="A33" s="154" t="s">
        <v>178</v>
      </c>
      <c r="B33" s="155" t="s">
        <v>136</v>
      </c>
      <c r="C33" s="155" t="s">
        <v>219</v>
      </c>
      <c r="D33" s="155" t="s">
        <v>178</v>
      </c>
      <c r="E33" s="155">
        <v>25000</v>
      </c>
      <c r="F33" s="155"/>
      <c r="G33" s="155"/>
      <c r="H33" s="155"/>
      <c r="I33" s="155"/>
      <c r="J33" s="155"/>
      <c r="K33" s="155">
        <v>25000</v>
      </c>
      <c r="L33" s="155"/>
      <c r="M33" s="155"/>
      <c r="N33" s="155"/>
      <c r="O33" s="155" t="s">
        <v>150</v>
      </c>
      <c r="P33" s="155" t="s">
        <v>109</v>
      </c>
      <c r="Q33" s="155"/>
      <c r="R33" s="156" t="s">
        <v>151</v>
      </c>
      <c r="S33" s="73"/>
      <c r="T33" s="73"/>
      <c r="U33" s="73"/>
      <c r="V33" s="73"/>
      <c r="W33" s="9"/>
      <c r="X33" s="9"/>
      <c r="Y33" s="9"/>
      <c r="Z33" s="9"/>
    </row>
    <row r="34" spans="1:26" x14ac:dyDescent="0.3">
      <c r="A34" s="204" t="s">
        <v>178</v>
      </c>
      <c r="B34" s="205" t="s">
        <v>95</v>
      </c>
      <c r="C34" s="205" t="s">
        <v>177</v>
      </c>
      <c r="D34" s="205" t="s">
        <v>178</v>
      </c>
      <c r="E34" s="205">
        <v>-151000</v>
      </c>
      <c r="F34" s="205"/>
      <c r="G34" s="205"/>
      <c r="H34" s="205"/>
      <c r="I34" s="205"/>
      <c r="J34" s="205"/>
      <c r="K34" s="205">
        <v>-151000</v>
      </c>
      <c r="L34" s="205"/>
      <c r="M34" s="205"/>
      <c r="N34" s="205"/>
      <c r="O34" s="205" t="s">
        <v>109</v>
      </c>
      <c r="P34" s="205" t="s">
        <v>130</v>
      </c>
      <c r="Q34" s="205" t="s">
        <v>179</v>
      </c>
      <c r="R34" s="206" t="s">
        <v>180</v>
      </c>
      <c r="S34" s="73"/>
      <c r="T34" s="73"/>
      <c r="U34" s="73"/>
      <c r="V34" s="73"/>
      <c r="W34" s="9"/>
      <c r="X34" s="9"/>
      <c r="Y34" s="9"/>
      <c r="Z34" s="9"/>
    </row>
    <row r="35" spans="1:26" x14ac:dyDescent="0.3">
      <c r="A35" s="204" t="s">
        <v>236</v>
      </c>
      <c r="B35" s="205" t="s">
        <v>136</v>
      </c>
      <c r="C35" s="205" t="s">
        <v>219</v>
      </c>
      <c r="D35" s="205" t="s">
        <v>236</v>
      </c>
      <c r="E35" s="205">
        <v>171124</v>
      </c>
      <c r="F35" s="205"/>
      <c r="G35" s="205"/>
      <c r="H35" s="205"/>
      <c r="I35" s="205"/>
      <c r="J35" s="205"/>
      <c r="K35" s="205">
        <v>171124</v>
      </c>
      <c r="L35" s="205"/>
      <c r="M35" s="205"/>
      <c r="N35" s="205"/>
      <c r="O35" s="205" t="s">
        <v>150</v>
      </c>
      <c r="P35" s="205" t="s">
        <v>109</v>
      </c>
      <c r="Q35" s="205"/>
      <c r="R35" s="206" t="s">
        <v>151</v>
      </c>
      <c r="S35" s="73"/>
      <c r="T35" s="73"/>
      <c r="U35" s="73"/>
      <c r="V35" s="73"/>
      <c r="W35" s="9"/>
      <c r="X35" s="9"/>
      <c r="Y35" s="9"/>
      <c r="Z35" s="9"/>
    </row>
    <row r="36" spans="1:26" ht="15.6" x14ac:dyDescent="0.3">
      <c r="A36" s="228" t="s">
        <v>90</v>
      </c>
      <c r="B36" s="228"/>
      <c r="C36" s="228"/>
      <c r="D36" s="228"/>
      <c r="E36" s="228"/>
      <c r="F36" s="228"/>
      <c r="G36" s="228"/>
      <c r="S36" s="73"/>
      <c r="T36" s="73"/>
      <c r="U36" s="73"/>
      <c r="V36" s="73"/>
    </row>
    <row r="38" spans="1:26" x14ac:dyDescent="0.3">
      <c r="A38" s="73" t="s">
        <v>49</v>
      </c>
      <c r="B38" s="73" t="s">
        <v>50</v>
      </c>
      <c r="C38" s="73" t="s">
        <v>13</v>
      </c>
      <c r="D38" s="73" t="s">
        <v>51</v>
      </c>
      <c r="E38" s="73" t="s">
        <v>10</v>
      </c>
      <c r="F38" s="73" t="s">
        <v>43</v>
      </c>
      <c r="G38" s="73" t="s">
        <v>44</v>
      </c>
      <c r="H38" s="73" t="s">
        <v>4</v>
      </c>
      <c r="I38" s="73" t="s">
        <v>45</v>
      </c>
      <c r="J38" s="73" t="s">
        <v>5</v>
      </c>
      <c r="K38" s="73" t="s">
        <v>6</v>
      </c>
      <c r="L38" s="73" t="s">
        <v>46</v>
      </c>
      <c r="M38" s="73" t="s">
        <v>47</v>
      </c>
      <c r="N38" s="73" t="s">
        <v>48</v>
      </c>
      <c r="O38" s="73" t="s">
        <v>101</v>
      </c>
      <c r="P38" s="73" t="s">
        <v>102</v>
      </c>
      <c r="Q38" s="73" t="s">
        <v>103</v>
      </c>
      <c r="R38" s="73" t="s">
        <v>104</v>
      </c>
    </row>
    <row r="39" spans="1:26" x14ac:dyDescent="0.3">
      <c r="A39" s="30" t="s">
        <v>110</v>
      </c>
      <c r="B39" s="30" t="s">
        <v>108</v>
      </c>
      <c r="C39" s="30" t="s">
        <v>116</v>
      </c>
      <c r="D39" s="30" t="s">
        <v>118</v>
      </c>
      <c r="E39" s="30">
        <v>120639</v>
      </c>
      <c r="F39" s="30"/>
      <c r="G39" s="30"/>
      <c r="H39" s="30">
        <v>120639</v>
      </c>
      <c r="I39" s="30"/>
      <c r="J39" s="30"/>
      <c r="K39" s="30"/>
      <c r="L39" s="30"/>
      <c r="M39" s="30"/>
      <c r="N39" s="30"/>
      <c r="O39" s="73" t="s">
        <v>117</v>
      </c>
      <c r="P39" s="73" t="s">
        <v>109</v>
      </c>
      <c r="Q39" s="73" t="s">
        <v>119</v>
      </c>
      <c r="R39" s="73" t="s">
        <v>120</v>
      </c>
    </row>
    <row r="40" spans="1:26" x14ac:dyDescent="0.3">
      <c r="A40" s="73" t="s">
        <v>110</v>
      </c>
      <c r="B40" s="73" t="s">
        <v>96</v>
      </c>
      <c r="C40" s="73" t="s">
        <v>111</v>
      </c>
      <c r="D40" s="73" t="s">
        <v>113</v>
      </c>
      <c r="E40" s="73">
        <v>150000</v>
      </c>
      <c r="F40" s="73"/>
      <c r="G40" s="73"/>
      <c r="H40" s="73"/>
      <c r="I40" s="73"/>
      <c r="J40" s="73"/>
      <c r="K40" s="73">
        <v>150000</v>
      </c>
      <c r="L40" s="73"/>
      <c r="M40" s="73"/>
      <c r="N40" s="73"/>
      <c r="O40" s="73" t="s">
        <v>112</v>
      </c>
      <c r="P40" s="73" t="s">
        <v>109</v>
      </c>
      <c r="Q40" s="73" t="s">
        <v>114</v>
      </c>
      <c r="R40" s="73" t="s">
        <v>115</v>
      </c>
    </row>
    <row r="41" spans="1:26" x14ac:dyDescent="0.3">
      <c r="A41" s="73" t="s">
        <v>128</v>
      </c>
      <c r="B41" s="73" t="s">
        <v>108</v>
      </c>
      <c r="C41" s="73" t="s">
        <v>129</v>
      </c>
      <c r="D41" s="73" t="s">
        <v>118</v>
      </c>
      <c r="E41" s="73">
        <v>280053</v>
      </c>
      <c r="F41" s="73"/>
      <c r="G41" s="73"/>
      <c r="H41" s="73"/>
      <c r="I41" s="73"/>
      <c r="J41" s="73"/>
      <c r="K41" s="73">
        <v>280053</v>
      </c>
      <c r="L41" s="73"/>
      <c r="M41" s="73"/>
      <c r="N41" s="73"/>
      <c r="O41" s="73" t="s">
        <v>130</v>
      </c>
      <c r="P41" s="73" t="s">
        <v>109</v>
      </c>
      <c r="Q41" s="73"/>
      <c r="R41" s="73" t="s">
        <v>131</v>
      </c>
    </row>
    <row r="42" spans="1:26" x14ac:dyDescent="0.3">
      <c r="A42" s="129" t="s">
        <v>128</v>
      </c>
      <c r="B42" s="129" t="s">
        <v>132</v>
      </c>
      <c r="C42" s="129" t="s">
        <v>133</v>
      </c>
      <c r="D42" s="129" t="s">
        <v>134</v>
      </c>
      <c r="E42" s="129">
        <v>-113148</v>
      </c>
      <c r="F42" s="129"/>
      <c r="G42" s="129"/>
      <c r="H42" s="129">
        <v>-113148</v>
      </c>
      <c r="I42" s="129"/>
      <c r="J42" s="129"/>
      <c r="K42" s="129"/>
      <c r="L42" s="129"/>
      <c r="M42" s="129"/>
      <c r="N42" s="129"/>
      <c r="O42" s="129" t="s">
        <v>109</v>
      </c>
      <c r="P42" s="129" t="s">
        <v>112</v>
      </c>
      <c r="Q42" s="129"/>
      <c r="R42" s="129" t="s">
        <v>135</v>
      </c>
      <c r="S42" s="9"/>
      <c r="T42" s="9"/>
      <c r="U42" s="9"/>
      <c r="V42" s="9"/>
      <c r="W42" s="9"/>
      <c r="X42" s="9"/>
      <c r="Y42" s="9"/>
      <c r="Z42" s="9"/>
    </row>
    <row r="43" spans="1:26" x14ac:dyDescent="0.3">
      <c r="A43" s="129" t="s">
        <v>118</v>
      </c>
      <c r="B43" s="129" t="s">
        <v>132</v>
      </c>
      <c r="C43" s="129" t="s">
        <v>152</v>
      </c>
      <c r="D43" s="129" t="s">
        <v>134</v>
      </c>
      <c r="E43" s="129">
        <v>-70069</v>
      </c>
      <c r="F43" s="129"/>
      <c r="G43" s="129"/>
      <c r="H43" s="129">
        <v>-70069</v>
      </c>
      <c r="I43" s="129"/>
      <c r="J43" s="129"/>
      <c r="K43" s="129"/>
      <c r="L43" s="129"/>
      <c r="M43" s="129"/>
      <c r="N43" s="129"/>
      <c r="O43" s="129" t="s">
        <v>109</v>
      </c>
      <c r="P43" s="129" t="s">
        <v>122</v>
      </c>
      <c r="Q43" s="129" t="s">
        <v>153</v>
      </c>
      <c r="R43" s="129" t="s">
        <v>154</v>
      </c>
      <c r="S43" s="9"/>
      <c r="T43" s="9"/>
      <c r="U43" s="9"/>
      <c r="V43" s="9"/>
      <c r="W43" s="9"/>
      <c r="X43" s="9"/>
      <c r="Y43" s="9"/>
      <c r="Z43" s="9"/>
    </row>
    <row r="44" spans="1:26" x14ac:dyDescent="0.3">
      <c r="A44" s="129" t="s">
        <v>118</v>
      </c>
      <c r="B44" s="129" t="s">
        <v>132</v>
      </c>
      <c r="C44" s="129" t="s">
        <v>149</v>
      </c>
      <c r="D44" s="129" t="s">
        <v>134</v>
      </c>
      <c r="E44" s="129">
        <v>-633480</v>
      </c>
      <c r="F44" s="129"/>
      <c r="G44" s="129"/>
      <c r="H44" s="129"/>
      <c r="I44" s="129"/>
      <c r="J44" s="129"/>
      <c r="K44" s="129">
        <v>-633480</v>
      </c>
      <c r="L44" s="129"/>
      <c r="M44" s="129"/>
      <c r="N44" s="129"/>
      <c r="O44" s="129" t="s">
        <v>109</v>
      </c>
      <c r="P44" s="129" t="s">
        <v>150</v>
      </c>
      <c r="Q44" s="129"/>
      <c r="R44" s="129" t="s">
        <v>151</v>
      </c>
      <c r="S44" s="9"/>
      <c r="T44" s="9"/>
      <c r="U44" s="9"/>
      <c r="V44" s="9"/>
      <c r="W44" s="9"/>
      <c r="X44" s="9"/>
      <c r="Y44" s="9"/>
      <c r="Z44" s="9"/>
    </row>
    <row r="45" spans="1:26" x14ac:dyDescent="0.3">
      <c r="A45" s="129" t="s">
        <v>118</v>
      </c>
      <c r="B45" s="129" t="s">
        <v>95</v>
      </c>
      <c r="C45" s="129" t="s">
        <v>129</v>
      </c>
      <c r="D45" s="129" t="s">
        <v>118</v>
      </c>
      <c r="E45" s="129">
        <v>-280053</v>
      </c>
      <c r="F45" s="129"/>
      <c r="G45" s="129"/>
      <c r="H45" s="129"/>
      <c r="I45" s="129"/>
      <c r="J45" s="129"/>
      <c r="K45" s="129">
        <v>-280053</v>
      </c>
      <c r="L45" s="129"/>
      <c r="M45" s="129"/>
      <c r="N45" s="129"/>
      <c r="O45" s="129" t="s">
        <v>109</v>
      </c>
      <c r="P45" s="129" t="s">
        <v>130</v>
      </c>
      <c r="Q45" s="129"/>
      <c r="R45" s="129" t="s">
        <v>131</v>
      </c>
      <c r="S45" s="9"/>
      <c r="T45" s="9"/>
      <c r="U45" s="9"/>
      <c r="V45" s="9"/>
      <c r="W45" s="9"/>
      <c r="X45" s="9"/>
      <c r="Y45" s="9"/>
      <c r="Z45" s="9"/>
    </row>
    <row r="46" spans="1:26" x14ac:dyDescent="0.3">
      <c r="A46" s="136" t="s">
        <v>118</v>
      </c>
      <c r="B46" s="136" t="s">
        <v>95</v>
      </c>
      <c r="C46" s="136" t="s">
        <v>116</v>
      </c>
      <c r="D46" s="136"/>
      <c r="E46" s="136">
        <v>-120639</v>
      </c>
      <c r="F46" s="136"/>
      <c r="G46" s="136"/>
      <c r="H46" s="136">
        <v>-120639</v>
      </c>
      <c r="I46" s="136"/>
      <c r="J46" s="136"/>
      <c r="K46" s="136"/>
      <c r="L46" s="136"/>
      <c r="M46" s="136"/>
      <c r="N46" s="136"/>
      <c r="O46" s="136" t="s">
        <v>109</v>
      </c>
      <c r="P46" s="136" t="s">
        <v>117</v>
      </c>
      <c r="Q46" s="136" t="s">
        <v>119</v>
      </c>
      <c r="R46" s="136" t="s">
        <v>121</v>
      </c>
      <c r="S46" s="9"/>
      <c r="T46" s="9"/>
      <c r="U46" s="9"/>
      <c r="V46" s="9"/>
      <c r="W46" s="9"/>
      <c r="X46" s="9"/>
      <c r="Y46" s="9"/>
      <c r="Z46" s="9"/>
    </row>
    <row r="47" spans="1:26" x14ac:dyDescent="0.3">
      <c r="A47" s="136" t="s">
        <v>134</v>
      </c>
      <c r="B47" s="136" t="s">
        <v>108</v>
      </c>
      <c r="C47" s="136" t="s">
        <v>177</v>
      </c>
      <c r="D47" s="136" t="s">
        <v>178</v>
      </c>
      <c r="E47" s="136">
        <v>151000</v>
      </c>
      <c r="F47" s="136"/>
      <c r="G47" s="136"/>
      <c r="H47" s="136"/>
      <c r="I47" s="136"/>
      <c r="J47" s="136"/>
      <c r="K47" s="136">
        <v>151000</v>
      </c>
      <c r="L47" s="136"/>
      <c r="M47" s="136"/>
      <c r="N47" s="136"/>
      <c r="O47" s="136" t="s">
        <v>130</v>
      </c>
      <c r="P47" s="136" t="s">
        <v>109</v>
      </c>
      <c r="Q47" s="136" t="s">
        <v>179</v>
      </c>
      <c r="R47" s="136" t="s">
        <v>180</v>
      </c>
      <c r="S47" s="9"/>
      <c r="T47" s="9"/>
      <c r="U47" s="9"/>
      <c r="V47" s="9"/>
      <c r="W47" s="9"/>
      <c r="X47" s="9"/>
      <c r="Y47" s="9"/>
      <c r="Z47" s="9"/>
    </row>
    <row r="48" spans="1:26" x14ac:dyDescent="0.3">
      <c r="A48" s="143" t="s">
        <v>134</v>
      </c>
      <c r="B48" s="143" t="s">
        <v>132</v>
      </c>
      <c r="C48" s="143" t="s">
        <v>215</v>
      </c>
      <c r="D48" s="143" t="s">
        <v>178</v>
      </c>
      <c r="E48" s="143">
        <v>-132200</v>
      </c>
      <c r="F48" s="143"/>
      <c r="G48" s="143"/>
      <c r="H48" s="143">
        <v>-132200</v>
      </c>
      <c r="I48" s="143"/>
      <c r="J48" s="143"/>
      <c r="K48" s="143"/>
      <c r="L48" s="143"/>
      <c r="M48" s="143"/>
      <c r="N48" s="143"/>
      <c r="O48" s="143" t="s">
        <v>109</v>
      </c>
      <c r="P48" s="143" t="s">
        <v>122</v>
      </c>
      <c r="Q48" s="143"/>
      <c r="R48" s="143" t="s">
        <v>154</v>
      </c>
      <c r="S48" s="9"/>
      <c r="T48" s="9"/>
      <c r="U48" s="9"/>
      <c r="V48" s="9"/>
      <c r="W48" s="9"/>
      <c r="X48" s="9"/>
      <c r="Y48" s="9"/>
      <c r="Z48" s="9"/>
    </row>
    <row r="49" spans="1:26" x14ac:dyDescent="0.3">
      <c r="A49" s="143" t="s">
        <v>134</v>
      </c>
      <c r="B49" s="143" t="s">
        <v>132</v>
      </c>
      <c r="C49" s="143" t="s">
        <v>234</v>
      </c>
      <c r="D49" s="143" t="s">
        <v>178</v>
      </c>
      <c r="E49" s="143">
        <v>-73889</v>
      </c>
      <c r="F49" s="143"/>
      <c r="G49" s="143"/>
      <c r="H49" s="143">
        <v>-73889</v>
      </c>
      <c r="I49" s="143"/>
      <c r="J49" s="143"/>
      <c r="K49" s="143"/>
      <c r="L49" s="143"/>
      <c r="M49" s="143"/>
      <c r="N49" s="143"/>
      <c r="O49" s="143" t="s">
        <v>109</v>
      </c>
      <c r="P49" s="143" t="s">
        <v>122</v>
      </c>
      <c r="Q49" s="143"/>
      <c r="R49" s="143" t="s">
        <v>154</v>
      </c>
      <c r="S49" s="9"/>
      <c r="T49" s="9"/>
      <c r="U49" s="9"/>
      <c r="V49" s="9"/>
      <c r="W49" s="9"/>
      <c r="X49" s="9"/>
      <c r="Y49" s="9"/>
      <c r="Z49" s="9"/>
    </row>
    <row r="50" spans="1:26" x14ac:dyDescent="0.3">
      <c r="A50" s="24" t="s">
        <v>134</v>
      </c>
      <c r="B50" s="24" t="s">
        <v>132</v>
      </c>
      <c r="C50" s="24" t="s">
        <v>219</v>
      </c>
      <c r="D50" s="24" t="s">
        <v>235</v>
      </c>
      <c r="E50" s="24">
        <v>-196124</v>
      </c>
      <c r="H50" s="24"/>
      <c r="K50" s="24">
        <v>-196124</v>
      </c>
      <c r="O50" s="24" t="s">
        <v>109</v>
      </c>
      <c r="P50" s="24" t="s">
        <v>150</v>
      </c>
      <c r="R50" s="24" t="s">
        <v>151</v>
      </c>
      <c r="W50" s="9"/>
      <c r="X50" s="9"/>
      <c r="Y50" s="9"/>
      <c r="Z50" s="9"/>
    </row>
    <row r="51" spans="1:26" x14ac:dyDescent="0.3">
      <c r="A51" s="24" t="s">
        <v>134</v>
      </c>
      <c r="B51" s="24" t="s">
        <v>136</v>
      </c>
      <c r="C51" s="24" t="s">
        <v>133</v>
      </c>
      <c r="D51" s="24" t="s">
        <v>134</v>
      </c>
      <c r="E51" s="24">
        <v>113148</v>
      </c>
      <c r="H51" s="24">
        <v>113148</v>
      </c>
      <c r="O51" s="24" t="s">
        <v>112</v>
      </c>
      <c r="P51" s="24" t="s">
        <v>109</v>
      </c>
      <c r="R51" s="24" t="s">
        <v>135</v>
      </c>
      <c r="W51" s="9"/>
      <c r="X51" s="9"/>
      <c r="Y51" s="9"/>
      <c r="Z51" s="9"/>
    </row>
    <row r="52" spans="1:26" x14ac:dyDescent="0.3">
      <c r="A52" s="166" t="s">
        <v>134</v>
      </c>
      <c r="B52" s="166" t="s">
        <v>136</v>
      </c>
      <c r="C52" s="166" t="s">
        <v>152</v>
      </c>
      <c r="D52" s="166" t="s">
        <v>134</v>
      </c>
      <c r="E52" s="166">
        <v>70069</v>
      </c>
      <c r="F52" s="166"/>
      <c r="G52" s="166"/>
      <c r="H52" s="166">
        <v>70069</v>
      </c>
      <c r="I52" s="166"/>
      <c r="J52" s="166"/>
      <c r="K52" s="166"/>
      <c r="L52" s="166"/>
      <c r="M52" s="166"/>
      <c r="N52" s="166"/>
      <c r="O52" s="166" t="s">
        <v>122</v>
      </c>
      <c r="P52" s="166" t="s">
        <v>109</v>
      </c>
      <c r="Q52" s="166" t="s">
        <v>153</v>
      </c>
      <c r="R52" s="166" t="s">
        <v>154</v>
      </c>
      <c r="W52" s="9"/>
      <c r="X52" s="9"/>
      <c r="Y52" s="9"/>
      <c r="Z52" s="9"/>
    </row>
    <row r="53" spans="1:26" x14ac:dyDescent="0.3">
      <c r="A53" s="166" t="s">
        <v>134</v>
      </c>
      <c r="B53" s="166" t="s">
        <v>136</v>
      </c>
      <c r="C53" s="166" t="s">
        <v>149</v>
      </c>
      <c r="D53" s="166" t="s">
        <v>134</v>
      </c>
      <c r="E53" s="166">
        <v>633480</v>
      </c>
      <c r="F53" s="166"/>
      <c r="G53" s="166"/>
      <c r="H53" s="166"/>
      <c r="I53" s="166"/>
      <c r="J53" s="166"/>
      <c r="K53" s="166">
        <v>633480</v>
      </c>
      <c r="L53" s="166"/>
      <c r="M53" s="166"/>
      <c r="N53" s="166"/>
      <c r="O53" s="166" t="s">
        <v>150</v>
      </c>
      <c r="P53" s="166" t="s">
        <v>109</v>
      </c>
      <c r="Q53" s="166"/>
      <c r="R53" s="166" t="s">
        <v>151</v>
      </c>
      <c r="W53" s="9"/>
      <c r="X53" s="9"/>
      <c r="Y53" s="9"/>
      <c r="Z53" s="9"/>
    </row>
    <row r="54" spans="1:26" x14ac:dyDescent="0.3">
      <c r="A54" s="178" t="s">
        <v>134</v>
      </c>
      <c r="B54" s="178" t="s">
        <v>96</v>
      </c>
      <c r="C54" s="178" t="s">
        <v>212</v>
      </c>
      <c r="D54" s="178" t="s">
        <v>113</v>
      </c>
      <c r="E54" s="178">
        <v>20000</v>
      </c>
      <c r="F54" s="178"/>
      <c r="G54" s="178"/>
      <c r="H54" s="178">
        <v>20000</v>
      </c>
      <c r="I54" s="178"/>
      <c r="J54" s="178"/>
      <c r="K54" s="178"/>
      <c r="L54" s="178"/>
      <c r="M54" s="178"/>
      <c r="N54" s="178"/>
      <c r="O54" s="178" t="s">
        <v>112</v>
      </c>
      <c r="P54" s="178" t="s">
        <v>109</v>
      </c>
      <c r="Q54" s="178" t="s">
        <v>213</v>
      </c>
      <c r="R54" s="178" t="s">
        <v>214</v>
      </c>
      <c r="W54" s="9"/>
      <c r="X54" s="9"/>
      <c r="Y54" s="9"/>
      <c r="Z54" s="9"/>
    </row>
    <row r="55" spans="1:26" x14ac:dyDescent="0.3">
      <c r="A55" s="178" t="s">
        <v>134</v>
      </c>
      <c r="B55" s="178" t="s">
        <v>96</v>
      </c>
      <c r="C55" s="178" t="s">
        <v>216</v>
      </c>
      <c r="D55" s="178" t="s">
        <v>113</v>
      </c>
      <c r="E55" s="178">
        <v>105000</v>
      </c>
      <c r="F55" s="178"/>
      <c r="G55" s="178"/>
      <c r="H55" s="178">
        <v>105000</v>
      </c>
      <c r="I55" s="178"/>
      <c r="J55" s="178"/>
      <c r="K55" s="178"/>
      <c r="L55" s="178"/>
      <c r="M55" s="178"/>
      <c r="N55" s="178"/>
      <c r="O55" s="178" t="s">
        <v>150</v>
      </c>
      <c r="P55" s="178" t="s">
        <v>109</v>
      </c>
      <c r="Q55" s="178" t="s">
        <v>217</v>
      </c>
      <c r="R55" s="178" t="s">
        <v>218</v>
      </c>
      <c r="W55" s="9"/>
      <c r="X55" s="9"/>
      <c r="Y55" s="9"/>
      <c r="Z55" s="9"/>
    </row>
    <row r="56" spans="1:26" x14ac:dyDescent="0.3">
      <c r="A56" s="24" t="s">
        <v>134</v>
      </c>
      <c r="B56" s="24" t="s">
        <v>198</v>
      </c>
      <c r="C56" s="24" t="s">
        <v>199</v>
      </c>
      <c r="D56" s="24" t="s">
        <v>113</v>
      </c>
      <c r="E56" s="24">
        <v>-287704</v>
      </c>
      <c r="H56" s="24">
        <v>-287704</v>
      </c>
      <c r="O56" s="24" t="s">
        <v>109</v>
      </c>
      <c r="P56" s="24" t="s">
        <v>122</v>
      </c>
      <c r="Q56" s="24" t="s">
        <v>158</v>
      </c>
      <c r="R56" s="24" t="s">
        <v>200</v>
      </c>
      <c r="W56" s="9"/>
      <c r="X56" s="9"/>
      <c r="Y56" s="9"/>
      <c r="Z56" s="9"/>
    </row>
    <row r="57" spans="1:26" x14ac:dyDescent="0.3">
      <c r="A57" s="24" t="s">
        <v>178</v>
      </c>
      <c r="B57" s="24" t="s">
        <v>136</v>
      </c>
      <c r="C57" s="24" t="s">
        <v>215</v>
      </c>
      <c r="D57" s="24" t="s">
        <v>178</v>
      </c>
      <c r="E57" s="24">
        <v>132200</v>
      </c>
      <c r="H57" s="24">
        <v>132200</v>
      </c>
      <c r="O57" s="24" t="s">
        <v>122</v>
      </c>
      <c r="P57" s="24" t="s">
        <v>109</v>
      </c>
      <c r="R57" s="24" t="s">
        <v>154</v>
      </c>
      <c r="W57" s="9"/>
      <c r="X57" s="9"/>
      <c r="Y57" s="9"/>
      <c r="Z57" s="9"/>
    </row>
    <row r="58" spans="1:26" x14ac:dyDescent="0.3">
      <c r="A58" s="24" t="s">
        <v>178</v>
      </c>
      <c r="B58" s="24" t="s">
        <v>136</v>
      </c>
      <c r="C58" s="24" t="s">
        <v>234</v>
      </c>
      <c r="D58" s="24" t="s">
        <v>178</v>
      </c>
      <c r="E58" s="24">
        <v>73889</v>
      </c>
      <c r="H58" s="24">
        <v>73889</v>
      </c>
      <c r="O58" s="24" t="s">
        <v>122</v>
      </c>
      <c r="P58" s="24" t="s">
        <v>109</v>
      </c>
      <c r="R58" s="24" t="s">
        <v>154</v>
      </c>
      <c r="W58" s="9"/>
      <c r="X58" s="9"/>
      <c r="Y58" s="9"/>
      <c r="Z58" s="9"/>
    </row>
    <row r="59" spans="1:26" x14ac:dyDescent="0.3">
      <c r="A59" s="24" t="s">
        <v>178</v>
      </c>
      <c r="B59" s="24" t="s">
        <v>136</v>
      </c>
      <c r="C59" s="24" t="s">
        <v>219</v>
      </c>
      <c r="D59" s="24" t="s">
        <v>178</v>
      </c>
      <c r="E59" s="24">
        <v>25000</v>
      </c>
      <c r="H59" s="24"/>
      <c r="K59" s="24">
        <v>25000</v>
      </c>
      <c r="O59" s="24" t="s">
        <v>150</v>
      </c>
      <c r="P59" s="24" t="s">
        <v>109</v>
      </c>
      <c r="R59" s="24" t="s">
        <v>151</v>
      </c>
      <c r="W59" s="9"/>
      <c r="X59" s="9"/>
      <c r="Y59" s="9"/>
      <c r="Z59" s="9"/>
    </row>
    <row r="60" spans="1:26" x14ac:dyDescent="0.3">
      <c r="A60" s="203" t="s">
        <v>178</v>
      </c>
      <c r="B60" s="203" t="s">
        <v>95</v>
      </c>
      <c r="C60" s="203" t="s">
        <v>177</v>
      </c>
      <c r="D60" s="203" t="s">
        <v>178</v>
      </c>
      <c r="E60" s="203">
        <v>-151000</v>
      </c>
      <c r="F60" s="203"/>
      <c r="G60" s="203"/>
      <c r="H60" s="203"/>
      <c r="I60" s="203"/>
      <c r="J60" s="203"/>
      <c r="K60" s="203">
        <v>-151000</v>
      </c>
      <c r="L60" s="203"/>
      <c r="M60" s="203"/>
      <c r="N60" s="203"/>
      <c r="O60" s="203" t="s">
        <v>109</v>
      </c>
      <c r="P60" s="203" t="s">
        <v>130</v>
      </c>
      <c r="Q60" s="203" t="s">
        <v>179</v>
      </c>
      <c r="R60" s="203" t="s">
        <v>180</v>
      </c>
      <c r="W60" s="9"/>
      <c r="X60" s="9"/>
      <c r="Y60" s="9"/>
      <c r="Z60" s="9"/>
    </row>
    <row r="61" spans="1:26" x14ac:dyDescent="0.3">
      <c r="A61" s="203" t="s">
        <v>236</v>
      </c>
      <c r="B61" s="203" t="s">
        <v>136</v>
      </c>
      <c r="C61" s="203" t="s">
        <v>219</v>
      </c>
      <c r="D61" s="203" t="s">
        <v>236</v>
      </c>
      <c r="E61" s="203">
        <v>171124</v>
      </c>
      <c r="F61" s="203"/>
      <c r="G61" s="203"/>
      <c r="H61" s="203"/>
      <c r="I61" s="203"/>
      <c r="J61" s="203"/>
      <c r="K61" s="203">
        <v>171124</v>
      </c>
      <c r="L61" s="203"/>
      <c r="M61" s="203"/>
      <c r="N61" s="203"/>
      <c r="O61" s="203" t="s">
        <v>150</v>
      </c>
      <c r="P61" s="203" t="s">
        <v>109</v>
      </c>
      <c r="Q61" s="203"/>
      <c r="R61" s="203" t="s">
        <v>151</v>
      </c>
      <c r="W61" s="9"/>
      <c r="X61" s="9"/>
      <c r="Y61" s="9"/>
      <c r="Z61" s="9"/>
    </row>
  </sheetData>
  <mergeCells count="5">
    <mergeCell ref="A1:F1"/>
    <mergeCell ref="A3:F3"/>
    <mergeCell ref="A9:G9"/>
    <mergeCell ref="A36:G36"/>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5"/>
  <sheetViews>
    <sheetView zoomScaleNormal="100" workbookViewId="0"/>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233" t="s">
        <v>14</v>
      </c>
      <c r="C1" s="233"/>
      <c r="D1" s="233"/>
      <c r="E1" s="233"/>
    </row>
    <row r="2" spans="1:5" ht="81.75" customHeight="1" x14ac:dyDescent="0.35">
      <c r="A2" s="1">
        <v>1</v>
      </c>
      <c r="B2" s="232" t="s">
        <v>16</v>
      </c>
      <c r="C2" s="232"/>
      <c r="D2" s="232"/>
      <c r="E2" s="232"/>
    </row>
    <row r="3" spans="1:5" x14ac:dyDescent="0.35">
      <c r="B3" s="3"/>
      <c r="C3" s="3"/>
      <c r="D3" s="3"/>
      <c r="E3" s="3"/>
    </row>
    <row r="4" spans="1:5" ht="33" customHeight="1" x14ac:dyDescent="0.35">
      <c r="A4" s="1">
        <v>2</v>
      </c>
      <c r="B4" s="232" t="s">
        <v>17</v>
      </c>
      <c r="C4" s="232"/>
      <c r="D4" s="232"/>
      <c r="E4" s="232"/>
    </row>
    <row r="5" spans="1:5" x14ac:dyDescent="0.35">
      <c r="B5" s="3"/>
      <c r="C5" s="3"/>
      <c r="D5" s="3"/>
      <c r="E5" s="3"/>
    </row>
    <row r="6" spans="1:5" s="16" customFormat="1" ht="114" customHeight="1" x14ac:dyDescent="0.3">
      <c r="A6" s="17">
        <v>3</v>
      </c>
      <c r="B6" s="237" t="s">
        <v>73</v>
      </c>
      <c r="C6" s="237"/>
      <c r="D6" s="237"/>
      <c r="E6" s="237"/>
    </row>
    <row r="7" spans="1:5" s="16" customFormat="1" x14ac:dyDescent="0.3">
      <c r="A7" s="17"/>
      <c r="B7" s="18"/>
      <c r="C7" s="18"/>
      <c r="D7" s="18"/>
      <c r="E7" s="18"/>
    </row>
    <row r="8" spans="1:5" ht="18" customHeight="1" x14ac:dyDescent="0.3">
      <c r="A8" s="1">
        <v>4</v>
      </c>
      <c r="B8" s="236" t="s">
        <v>64</v>
      </c>
      <c r="C8" s="236"/>
      <c r="D8" s="8"/>
      <c r="E8" s="8"/>
    </row>
    <row r="9" spans="1:5" ht="18" customHeight="1" x14ac:dyDescent="0.3">
      <c r="B9" s="235" t="s">
        <v>192</v>
      </c>
      <c r="C9" s="235"/>
      <c r="D9" s="12">
        <v>125000</v>
      </c>
    </row>
    <row r="10" spans="1:5" ht="18" customHeight="1" x14ac:dyDescent="0.3">
      <c r="B10" s="232" t="s">
        <v>193</v>
      </c>
      <c r="C10" s="232"/>
      <c r="D10" s="11">
        <v>-31250</v>
      </c>
    </row>
    <row r="11" spans="1:5" ht="18" customHeight="1" x14ac:dyDescent="0.3">
      <c r="B11" s="235" t="s">
        <v>194</v>
      </c>
      <c r="C11" s="235"/>
      <c r="D11" s="13">
        <f>+D9+D10</f>
        <v>93750</v>
      </c>
    </row>
    <row r="12" spans="1:5" ht="31.5" customHeight="1" x14ac:dyDescent="0.3">
      <c r="B12" s="232" t="s">
        <v>195</v>
      </c>
      <c r="C12" s="232"/>
      <c r="D12" s="10">
        <v>31250</v>
      </c>
    </row>
    <row r="13" spans="1:5" ht="36.75" customHeight="1" x14ac:dyDescent="0.3">
      <c r="B13" s="235" t="s">
        <v>196</v>
      </c>
      <c r="C13" s="235"/>
      <c r="D13" s="14">
        <f>SUM(D11:D12)</f>
        <v>125000</v>
      </c>
    </row>
    <row r="14" spans="1:5" s="16" customFormat="1" ht="18" customHeight="1" x14ac:dyDescent="0.3">
      <c r="A14" s="17"/>
      <c r="B14" s="21"/>
      <c r="C14" s="21"/>
      <c r="D14" s="22"/>
    </row>
    <row r="15" spans="1:5" s="16" customFormat="1" ht="84.75" customHeight="1" x14ac:dyDescent="0.3">
      <c r="A15" s="1">
        <v>5</v>
      </c>
      <c r="B15" s="234" t="s">
        <v>65</v>
      </c>
      <c r="C15" s="234"/>
      <c r="D15" s="234"/>
      <c r="E15" s="234"/>
    </row>
    <row r="16" spans="1:5" x14ac:dyDescent="0.3">
      <c r="B16" s="3"/>
      <c r="C16" s="3"/>
      <c r="D16" s="3"/>
      <c r="E16" s="3"/>
    </row>
    <row r="17" spans="1:5" ht="14.4" customHeight="1" x14ac:dyDescent="0.3">
      <c r="A17" s="1">
        <v>6</v>
      </c>
      <c r="B17" s="232" t="s">
        <v>201</v>
      </c>
      <c r="C17" s="232"/>
      <c r="D17" s="232"/>
      <c r="E17" s="232"/>
    </row>
    <row r="18" spans="1:5" x14ac:dyDescent="0.3">
      <c r="B18" s="232"/>
      <c r="C18" s="232"/>
      <c r="D18" s="232"/>
      <c r="E18" s="232"/>
    </row>
    <row r="19" spans="1:5" s="16" customFormat="1" x14ac:dyDescent="0.3">
      <c r="A19" s="17"/>
      <c r="B19" s="157"/>
      <c r="C19" s="157"/>
      <c r="D19" s="157"/>
      <c r="E19" s="157"/>
    </row>
    <row r="20" spans="1:5" ht="33" customHeight="1" x14ac:dyDescent="0.3">
      <c r="A20" s="1">
        <v>7</v>
      </c>
      <c r="B20" s="232" t="s">
        <v>38</v>
      </c>
      <c r="C20" s="232"/>
      <c r="D20" s="232"/>
      <c r="E20" s="232"/>
    </row>
    <row r="21" spans="1:5" ht="14.25" customHeight="1" x14ac:dyDescent="0.3">
      <c r="B21" s="7"/>
      <c r="C21" s="7"/>
      <c r="D21" s="7"/>
      <c r="E21" s="7"/>
    </row>
    <row r="22" spans="1:5" ht="47.25" customHeight="1" x14ac:dyDescent="0.3">
      <c r="A22" s="1">
        <v>8</v>
      </c>
      <c r="B22" s="232" t="s">
        <v>39</v>
      </c>
      <c r="C22" s="232"/>
      <c r="D22" s="232"/>
      <c r="E22" s="232"/>
    </row>
    <row r="23" spans="1:5" ht="15" customHeight="1" x14ac:dyDescent="0.3">
      <c r="B23" s="7"/>
      <c r="C23" s="7"/>
      <c r="D23" s="7"/>
      <c r="E23" s="7"/>
    </row>
    <row r="24" spans="1:5" ht="32.25" customHeight="1" x14ac:dyDescent="0.3">
      <c r="A24" s="1">
        <v>9</v>
      </c>
      <c r="B24" s="232" t="s">
        <v>37</v>
      </c>
      <c r="C24" s="232"/>
      <c r="D24" s="232"/>
      <c r="E24" s="232"/>
    </row>
    <row r="25" spans="1:5" ht="15" customHeight="1" x14ac:dyDescent="0.3">
      <c r="B25" s="7"/>
      <c r="C25" s="7"/>
      <c r="D25" s="7"/>
      <c r="E25" s="7"/>
    </row>
    <row r="26" spans="1:5" ht="33" customHeight="1" x14ac:dyDescent="0.3">
      <c r="A26" s="1">
        <v>10</v>
      </c>
      <c r="B26" s="232" t="s">
        <v>40</v>
      </c>
      <c r="C26" s="232"/>
      <c r="D26" s="232"/>
      <c r="E26" s="232"/>
    </row>
    <row r="27" spans="1:5" x14ac:dyDescent="0.3">
      <c r="B27" s="3"/>
      <c r="C27" s="3"/>
      <c r="D27" s="3"/>
      <c r="E27" s="3"/>
    </row>
    <row r="28" spans="1:5" ht="30" customHeight="1" x14ac:dyDescent="0.3">
      <c r="A28" s="1">
        <v>11</v>
      </c>
      <c r="B28" s="232" t="s">
        <v>41</v>
      </c>
      <c r="C28" s="232"/>
      <c r="D28" s="232"/>
      <c r="E28" s="232"/>
    </row>
    <row r="29" spans="1:5" x14ac:dyDescent="0.3">
      <c r="B29" s="3"/>
      <c r="C29" s="3"/>
      <c r="D29" s="3"/>
      <c r="E29" s="3"/>
    </row>
    <row r="30" spans="1:5" ht="31.5" customHeight="1" x14ac:dyDescent="0.3">
      <c r="A30" s="1">
        <v>12</v>
      </c>
      <c r="B30" s="232" t="s">
        <v>42</v>
      </c>
      <c r="C30" s="232"/>
      <c r="D30" s="232"/>
      <c r="E30" s="232"/>
    </row>
    <row r="31" spans="1:5" x14ac:dyDescent="0.3">
      <c r="B31" s="7"/>
      <c r="C31" s="7"/>
      <c r="D31" s="7"/>
      <c r="E31" s="7"/>
    </row>
    <row r="32" spans="1:5" ht="34.5" customHeight="1" x14ac:dyDescent="0.3">
      <c r="A32" s="1">
        <v>13</v>
      </c>
      <c r="B32" s="232" t="s">
        <v>18</v>
      </c>
      <c r="C32" s="232"/>
      <c r="D32" s="232"/>
      <c r="E32" s="232"/>
    </row>
    <row r="33" spans="1:5" ht="16.5" customHeight="1" x14ac:dyDescent="0.3">
      <c r="B33" s="3"/>
      <c r="C33" s="3"/>
      <c r="D33" s="3"/>
      <c r="E33" s="3"/>
    </row>
    <row r="34" spans="1:5" ht="64.5" customHeight="1" x14ac:dyDescent="0.3">
      <c r="A34" s="1">
        <v>14</v>
      </c>
      <c r="B34" s="232" t="s">
        <v>19</v>
      </c>
      <c r="C34" s="232"/>
      <c r="D34" s="232"/>
      <c r="E34" s="232"/>
    </row>
    <row r="35" spans="1:5" ht="14.25" customHeight="1" x14ac:dyDescent="0.3">
      <c r="B35" s="3"/>
      <c r="C35" s="3"/>
      <c r="D35" s="3"/>
      <c r="E35" s="3"/>
    </row>
    <row r="36" spans="1:5" x14ac:dyDescent="0.3">
      <c r="A36" s="1">
        <v>15</v>
      </c>
      <c r="B36" s="236" t="s">
        <v>34</v>
      </c>
      <c r="C36" s="236"/>
      <c r="D36" s="236"/>
      <c r="E36" s="236"/>
    </row>
    <row r="37" spans="1:5" x14ac:dyDescent="0.3">
      <c r="B37" s="15" t="s">
        <v>7</v>
      </c>
      <c r="C37" s="230" t="s">
        <v>20</v>
      </c>
      <c r="D37" s="230"/>
      <c r="E37" s="230"/>
    </row>
    <row r="38" spans="1:5" x14ac:dyDescent="0.3">
      <c r="B38" s="5" t="s">
        <v>21</v>
      </c>
      <c r="C38" s="231" t="s">
        <v>28</v>
      </c>
      <c r="D38" s="231"/>
      <c r="E38" s="231"/>
    </row>
    <row r="39" spans="1:5" x14ac:dyDescent="0.3">
      <c r="B39" s="15" t="s">
        <v>22</v>
      </c>
      <c r="C39" s="230" t="s">
        <v>29</v>
      </c>
      <c r="D39" s="230"/>
      <c r="E39" s="230"/>
    </row>
    <row r="40" spans="1:5" x14ac:dyDescent="0.3">
      <c r="B40" s="5" t="s">
        <v>23</v>
      </c>
      <c r="C40" s="231" t="s">
        <v>32</v>
      </c>
      <c r="D40" s="231"/>
      <c r="E40" s="231"/>
    </row>
    <row r="41" spans="1:5" x14ac:dyDescent="0.3">
      <c r="B41" s="15" t="s">
        <v>9</v>
      </c>
      <c r="C41" s="230" t="s">
        <v>30</v>
      </c>
      <c r="D41" s="230"/>
      <c r="E41" s="230"/>
    </row>
    <row r="42" spans="1:5" x14ac:dyDescent="0.3">
      <c r="B42" s="5" t="s">
        <v>8</v>
      </c>
      <c r="C42" s="231" t="s">
        <v>24</v>
      </c>
      <c r="D42" s="231"/>
      <c r="E42" s="231"/>
    </row>
    <row r="43" spans="1:5" x14ac:dyDescent="0.3">
      <c r="B43" s="15" t="s">
        <v>25</v>
      </c>
      <c r="C43" s="230" t="s">
        <v>26</v>
      </c>
      <c r="D43" s="230"/>
      <c r="E43" s="230"/>
    </row>
    <row r="44" spans="1:5" x14ac:dyDescent="0.3">
      <c r="B44" s="5" t="s">
        <v>27</v>
      </c>
      <c r="C44" s="231" t="s">
        <v>31</v>
      </c>
      <c r="D44" s="231"/>
      <c r="E44" s="231"/>
    </row>
    <row r="45" spans="1:5" s="16" customFormat="1" x14ac:dyDescent="0.3">
      <c r="A45" s="17"/>
      <c r="B45" s="19"/>
      <c r="C45" s="20"/>
      <c r="D45" s="20"/>
      <c r="E45" s="20"/>
    </row>
    <row r="46" spans="1:5" s="16" customFormat="1" x14ac:dyDescent="0.3">
      <c r="A46" s="17">
        <v>16</v>
      </c>
      <c r="B46" s="23" t="s">
        <v>74</v>
      </c>
      <c r="C46" s="20"/>
      <c r="D46" s="20"/>
      <c r="E46" s="20"/>
    </row>
    <row r="47" spans="1:5" s="16" customFormat="1" ht="30" customHeight="1" x14ac:dyDescent="0.3">
      <c r="A47" s="17"/>
      <c r="B47" s="15" t="s">
        <v>55</v>
      </c>
      <c r="C47" s="230" t="s">
        <v>76</v>
      </c>
      <c r="D47" s="230"/>
      <c r="E47" s="230"/>
    </row>
    <row r="48" spans="1:5" s="16" customFormat="1" x14ac:dyDescent="0.3">
      <c r="A48" s="17"/>
      <c r="B48" s="19" t="s">
        <v>56</v>
      </c>
      <c r="C48" s="231" t="s">
        <v>75</v>
      </c>
      <c r="D48" s="231"/>
      <c r="E48" s="231"/>
    </row>
    <row r="49" spans="1:5" s="16" customFormat="1" ht="48.75" customHeight="1" x14ac:dyDescent="0.3">
      <c r="A49" s="17"/>
      <c r="B49" s="15" t="s">
        <v>57</v>
      </c>
      <c r="C49" s="230" t="s">
        <v>78</v>
      </c>
      <c r="D49" s="230"/>
      <c r="E49" s="230"/>
    </row>
    <row r="50" spans="1:5" s="16" customFormat="1" ht="29.25" customHeight="1" x14ac:dyDescent="0.3">
      <c r="A50" s="17"/>
      <c r="B50" s="19" t="s">
        <v>58</v>
      </c>
      <c r="C50" s="231" t="s">
        <v>77</v>
      </c>
      <c r="D50" s="231"/>
      <c r="E50" s="231"/>
    </row>
    <row r="51" spans="1:5" x14ac:dyDescent="0.3">
      <c r="B51" s="5"/>
      <c r="C51" s="6"/>
      <c r="D51" s="6"/>
      <c r="E51" s="6"/>
    </row>
    <row r="52" spans="1:5" ht="94.5" customHeight="1" x14ac:dyDescent="0.3">
      <c r="A52" s="1">
        <v>17</v>
      </c>
      <c r="B52" s="239" t="s">
        <v>33</v>
      </c>
      <c r="C52" s="239"/>
      <c r="D52" s="239"/>
      <c r="E52" s="239"/>
    </row>
    <row r="54" spans="1:5" x14ac:dyDescent="0.3">
      <c r="B54" s="2"/>
    </row>
    <row r="55" spans="1:5" x14ac:dyDescent="0.3">
      <c r="A55" s="238" t="s">
        <v>35</v>
      </c>
      <c r="B55" s="238"/>
      <c r="C55" s="238"/>
      <c r="D55" s="238"/>
      <c r="E55" s="238"/>
    </row>
  </sheetData>
  <mergeCells count="35">
    <mergeCell ref="B26:E26"/>
    <mergeCell ref="B28:E28"/>
    <mergeCell ref="B6:E6"/>
    <mergeCell ref="A55:E55"/>
    <mergeCell ref="B20:E20"/>
    <mergeCell ref="B52:E52"/>
    <mergeCell ref="B36:E36"/>
    <mergeCell ref="C37:E37"/>
    <mergeCell ref="C38:E38"/>
    <mergeCell ref="C39:E39"/>
    <mergeCell ref="C40:E40"/>
    <mergeCell ref="C41:E41"/>
    <mergeCell ref="C42:E42"/>
    <mergeCell ref="C43:E43"/>
    <mergeCell ref="C44:E44"/>
    <mergeCell ref="B22:E22"/>
    <mergeCell ref="B24:E24"/>
    <mergeCell ref="B1:E1"/>
    <mergeCell ref="B2:E2"/>
    <mergeCell ref="B4:E4"/>
    <mergeCell ref="B15:E15"/>
    <mergeCell ref="B10:C10"/>
    <mergeCell ref="B11:C11"/>
    <mergeCell ref="B13:C13"/>
    <mergeCell ref="B12:C12"/>
    <mergeCell ref="B8:C8"/>
    <mergeCell ref="B9:C9"/>
    <mergeCell ref="B17:E18"/>
    <mergeCell ref="C47:E47"/>
    <mergeCell ref="C48:E48"/>
    <mergeCell ref="C50:E50"/>
    <mergeCell ref="C49:E49"/>
    <mergeCell ref="B30:E30"/>
    <mergeCell ref="B32:E32"/>
    <mergeCell ref="B34:E34"/>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2014-03-14T19:56:21Z</cp:lastPrinted>
  <dcterms:created xsi:type="dcterms:W3CDTF">2013-05-11T20:19:37Z</dcterms:created>
  <dcterms:modified xsi:type="dcterms:W3CDTF">2017-09-24T17:37:54Z</dcterms:modified>
</cp:coreProperties>
</file>