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2"/>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Transactions'!$A$1:$S$38</definedName>
    <definedName name="Query_from_MS_Access_Database" localSheetId="1" hidden="1">'Regional Loans and Transfers'!$A$11:$R$33</definedName>
    <definedName name="Query_from_MS_Access_Database_1" localSheetId="0" hidden="1">'Federal Funds Transactions'!$A$15:$P$35</definedName>
    <definedName name="Query_from_MS_Access_Database_1" localSheetId="1" hidden="1">'Regional Loans and Transfers'!$A$39:$R$60</definedName>
    <definedName name="Query_from_MS_Access_Database_2" localSheetId="0" hidden="1">'Federal Funds Transactions'!$A$40:$P$41</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R48" i="1" l="1"/>
  <c r="R41" i="1"/>
  <c r="I41" i="1"/>
  <c r="Q41" i="1"/>
  <c r="R16" i="1"/>
  <c r="R17" i="1"/>
  <c r="R18" i="1" s="1"/>
  <c r="R19" i="1" s="1"/>
  <c r="R20" i="1" s="1"/>
  <c r="R21" i="1" s="1"/>
  <c r="R22" i="1" s="1"/>
  <c r="R23" i="1" s="1"/>
  <c r="R24" i="1" s="1"/>
  <c r="R25" i="1" s="1"/>
  <c r="R26" i="1" s="1"/>
  <c r="R27" i="1" s="1"/>
  <c r="R28" i="1" s="1"/>
  <c r="R29" i="1" s="1"/>
  <c r="R30" i="1" s="1"/>
  <c r="R31" i="1" s="1"/>
  <c r="R32" i="1" s="1"/>
  <c r="R33" i="1" s="1"/>
  <c r="R34" i="1" s="1"/>
  <c r="R35" i="1" s="1"/>
  <c r="I16" i="1"/>
  <c r="I17" i="1"/>
  <c r="I18" i="1"/>
  <c r="I19" i="1"/>
  <c r="I20" i="1"/>
  <c r="I21" i="1"/>
  <c r="I22" i="1"/>
  <c r="I23" i="1"/>
  <c r="I24" i="1"/>
  <c r="I25" i="1"/>
  <c r="I26" i="1"/>
  <c r="I27" i="1"/>
  <c r="I28" i="1"/>
  <c r="I29" i="1"/>
  <c r="I30" i="1"/>
  <c r="I31" i="1"/>
  <c r="I32" i="1"/>
  <c r="I33" i="1"/>
  <c r="I34" i="1"/>
  <c r="I35" i="1"/>
  <c r="Q16" i="1"/>
  <c r="Q17" i="1"/>
  <c r="Q18" i="1"/>
  <c r="Q19" i="1"/>
  <c r="Q20" i="1"/>
  <c r="Q21" i="1"/>
  <c r="Q22" i="1"/>
  <c r="Q23" i="1"/>
  <c r="Q24" i="1"/>
  <c r="Q25" i="1"/>
  <c r="Q26" i="1"/>
  <c r="Q27" i="1"/>
  <c r="Q28" i="1"/>
  <c r="Q29" i="1"/>
  <c r="Q30" i="1"/>
  <c r="Q31" i="1"/>
  <c r="Q32" i="1"/>
  <c r="Q33" i="1"/>
  <c r="Q34" i="1"/>
  <c r="Q35" i="1"/>
  <c r="O5" i="1" l="1"/>
  <c r="R49" i="1" l="1"/>
  <c r="P49" i="1"/>
  <c r="O49" i="1"/>
  <c r="N49" i="1"/>
  <c r="Q49" i="1" l="1"/>
  <c r="B5" i="3"/>
  <c r="R4" i="1" l="1"/>
  <c r="Q5" i="1" l="1"/>
  <c r="R5" i="1" s="1"/>
  <c r="Q4" i="1"/>
  <c r="R50" i="1" l="1"/>
  <c r="Q42" i="1" l="1"/>
  <c r="A7" i="3"/>
  <c r="O42" i="1" l="1"/>
  <c r="P42" i="1"/>
  <c r="N42" i="1"/>
  <c r="O36" i="1"/>
  <c r="P36" i="1"/>
  <c r="N36" i="1"/>
  <c r="N11" i="1"/>
  <c r="N10" i="1"/>
  <c r="N9" i="1"/>
  <c r="N8" i="1"/>
  <c r="N7" i="1"/>
  <c r="N6" i="1"/>
  <c r="O11" i="1"/>
  <c r="O10" i="1"/>
  <c r="O9" i="1"/>
  <c r="O8" i="1"/>
  <c r="O7" i="1"/>
  <c r="O6" i="1"/>
  <c r="P6" i="1"/>
  <c r="P7" i="1"/>
  <c r="P8" i="1"/>
  <c r="P9" i="1"/>
  <c r="P10" i="1"/>
  <c r="R11" i="1"/>
  <c r="P11" i="1"/>
  <c r="R7" i="1"/>
  <c r="R8" i="1"/>
  <c r="R9" i="1"/>
  <c r="R10" i="1"/>
  <c r="R6" i="1"/>
  <c r="Q6" i="1" l="1"/>
  <c r="Q8" i="1"/>
  <c r="Q10" i="1"/>
  <c r="Q7" i="1"/>
  <c r="Q9" i="1"/>
  <c r="Q11" i="1"/>
  <c r="Q36" i="1" l="1"/>
  <c r="D11" i="2" l="1"/>
  <c r="D13" i="2" l="1"/>
  <c r="O12" i="1" s="1"/>
  <c r="O37" i="1" s="1"/>
  <c r="O43" i="1" s="1"/>
  <c r="O48" i="1" s="1"/>
  <c r="A1" i="3" l="1"/>
  <c r="N12" i="1" l="1"/>
  <c r="N37" i="1" s="1"/>
  <c r="N43" i="1" s="1"/>
  <c r="N48" i="1" s="1"/>
  <c r="N50" i="1" s="1"/>
  <c r="P12" i="1" l="1"/>
  <c r="Q12" i="1" l="1"/>
  <c r="Q37" i="1" s="1"/>
  <c r="Q43" i="1" s="1"/>
  <c r="P37" i="1"/>
  <c r="P43" i="1" s="1"/>
  <c r="P48" i="1" s="1"/>
  <c r="R12" i="1"/>
  <c r="Q48" i="1" l="1"/>
  <c r="P50" i="1"/>
  <c r="Q50"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SIP, `07-SEAGO LEDGER`.SPR, `07-SEAGO LEDGER`.`STP OTHER`_x000d__x000a_FROM `G:\FMS\RESOURCE\ACCESS\010614 PBPF\011614 PBPF front.accdb`.`07-SEAGO LEDGER` `07-SEAGO LEDGER`_x000d__x000a_WHERE (`07-SEAGO LEDGER`.`ADOT#` Not Like 'Trick') AND (`07-SEAGO LEDGER`.`Finance Authorization` Is Not Null)"/>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7-SEAGOqryLedgerApportsCrosstab`.`Transaction Year`, `07-SEAGOqryLedgerApportsCrosstab`.`Transaction Type`, `07-SEAGOqryLedgerApportsCrosstab`.Number, `07-SEAGOqryLedgerApportsCrosstab`.`From`, `07-SEAGOqryLedgerApportsCrosstab`.To, `07-SEAGOqryLedgerApportsCrosstab`.`Repayment Year`, `07-SEAGOqryLedgerApportsCrosstab`.Project8, `07-SEAGOqryLedgerApportsCrosstab`.Notes, `07-SEAGOqryLedgerApportsCrosstab`.Total, `07-SEAGOqryLedgerApportsCrosstab`.CMAQ, `07-SEAGOqryLedgerApportsCrosstab`.`CMAQ 2_5`, `07-SEAGOqryLedgerApportsCrosstab`.HSIP, `07-SEAGOqryLedgerApportsCrosstab`.PL, `07-SEAGOqryLedgerApportsCrosstab`.SPR, `07-SEAGOqryLedgerApportsCrosstab`.`STP other`, `07-SEAGOqryLedgerApportsCrosstab`.`STP over 200K`, `07-SEAGOqryLedgerApportsCrosstab`.`TA other`, `07-SEAGOqryLedgerApportsCrosstab`.`TA over 200K`_x000d__x000a_FROM `G:\FMS\RESOURCE\ACCESS\010614 PBPF\011614 PBPF front.accdb`.`07-SEAGOqryLedgerApportsCrosstab` `07-SEAGOqryLedgerApportsCrosstab`_x000d__x000a_WHERE (`07-SEAG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7-SEAGOqryLedgerOACrosstab`.`Transaction Year`, `07-SEAGOqryLedgerOACrosstab`.`Transaction Type`, `07-SEAGOqryLedgerOACrosstab`.Number, `07-SEAGOqryLedgerOACrosstab`.`From`, `07-SEAGOqryLedgerOACrosstab`.To, `07-SEAGOqryLedgerOACrosstab`.`Repayment Year`, `07-SEAGOqryLedgerOACrosstab`.project8, `07-SEAGOqryLedgerOACrosstab`.Notes, `07-SEAGOqryLedgerOACrosstab`.Total, `07-SEAGOqryLedgerOACrosstab`.CMAQ, `07-SEAGOqryLedgerOACrosstab`.`CMAQ 2_5`, `07-SEAGOqryLedgerOACrosstab`.HSIP, `07-SEAGOqryLedgerOACrosstab`.PL, `07-SEAGOqryLedgerOACrosstab`.SPR, `07-SEAGOqryLedgerOACrosstab`.`STP other`, `07-SEAGOqryLedgerOACrosstab`.`STP over 200K`, `07-SEAGOqryLedgerOACrosstab`.`TA other`, `07-SEAGOqryLedgerOACrosstab`.`TA over 200K`_x000d__x000a_FROM `G:\FMS\RESOURCE\ACCESS\010614 PBPF\011614 PBPF front.accdb`.`07-SEAGOqryLedgerOACrosstab` `07-SEAGOqryLedgerOACrosstab`_x000d__x000a_WHERE (`07-SEAG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7-SEAGO LEDGER`.`ADOT#`, `07-SEAGO LEDGER`.`TIP#`, `07-SEAGO LEDGER`.Sponsor, `07-SEAGO LEDGER`.`Action/15`, `07-SEAGO LEDGER`.Location, `07-SEAGO LEDGER`.RTE, `07-SEAGO LEDGER`.SEC, `07-SEAGO LEDGER`.SEQ, `07-SEAGO LEDGER`.`PB Expected`, `07-SEAGO LEDGER`.`PB Received`, `07-SEAGO LEDGER`.`PF Transmitted`, `07-SEAGO LEDGER`.`Finance Authorization`, `07-SEAGO LEDGER`.HSIP, `07-SEAGO LEDGER`.SPR, `07-SEAGO LEDGER`.`STP OTHER`_x000d__x000a_FROM `G:\FMS\RESOURCE\ACCESS\010614 PBPF\011614 PBPF front.accdb`.`07-SEAGO LEDGER` `07-SEAGO LEDGER`_x000d__x000a_WHERE (`07-SEAGO LEDGER`.`ADOT#` Not Like 'Trick') AND (`07-SEAGO LEDGER`.`Finance Authorization` Is Null)"/>
  </connection>
</connections>
</file>

<file path=xl/sharedStrings.xml><?xml version="1.0" encoding="utf-8"?>
<sst xmlns="http://schemas.openxmlformats.org/spreadsheetml/2006/main" count="626" uniqueCount="253">
  <si>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</si>
  <si>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</si>
  <si>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</si>
  <si>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</si>
  <si>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</si>
  <si>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</si>
  <si>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</si>
  <si>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</si>
  <si>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</si>
  <si>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</si>
  <si>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</si>
  <si>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</si>
  <si>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</si>
  <si>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</si>
  <si>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</si>
  <si>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</si>
  <si>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</si>
  <si>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</si>
  <si>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</si>
  <si>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</si>
  <si>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</si>
  <si>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</si>
  <si>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</si>
  <si>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</si>
  <si>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</si>
  <si>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</si>
  <si>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</si>
  <si>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</si>
  <si>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</si>
  <si>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</si>
  <si>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</si>
  <si>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</si>
  <si>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</si>
  <si>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</si>
  <si>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</si>
  <si>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</si>
  <si>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2013</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</si>
  <si>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</si>
  <si>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</si>
  <si>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</si>
  <si>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</si>
  <si>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</si>
  <si>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</si>
  <si>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</si>
  <si>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</si>
  <si>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CMAQ 2_5</t>
  </si>
  <si>
    <t>PL</t>
  </si>
  <si>
    <t>STP over 200K</t>
  </si>
  <si>
    <t>TA other</t>
  </si>
  <si>
    <t>TA over 200K</t>
  </si>
  <si>
    <t>Transaction Year</t>
  </si>
  <si>
    <t>Transaction Type</t>
  </si>
  <si>
    <t>Repayment Year</t>
  </si>
  <si>
    <t>MAG</t>
  </si>
  <si>
    <t>Transfer Out</t>
  </si>
  <si>
    <t>RTE</t>
  </si>
  <si>
    <t>SEC</t>
  </si>
  <si>
    <t>SEQ</t>
  </si>
  <si>
    <t>PB Expected</t>
  </si>
  <si>
    <t>PB Received</t>
  </si>
  <si>
    <t>PF Transmitted</t>
  </si>
  <si>
    <t>Finance Authorization</t>
  </si>
  <si>
    <t>0</t>
  </si>
  <si>
    <t>STP OTHER</t>
  </si>
  <si>
    <t>FED #</t>
  </si>
  <si>
    <t>EXPECTED DECLINING BALANCE OA</t>
  </si>
  <si>
    <t>TOTAL</t>
  </si>
  <si>
    <t>SPR /4</t>
  </si>
  <si>
    <t xml:space="preserve">State FY 14 amount available for authorization 10/1/13 - 6/30/14 </t>
  </si>
  <si>
    <t>SPR apportionment availability for approved work program</t>
  </si>
  <si>
    <t>State FY 14 Approved work program amount</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</si>
  <si>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</si>
  <si>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 xml:space="preserve">State FY 14 amount authorized prior to 9/30/13 </t>
  </si>
  <si>
    <t>Total SPR apportionments for Federal Fiscal Year 14 (as shown on ledger)</t>
  </si>
  <si>
    <t>APPORTIONMENTS</t>
  </si>
  <si>
    <t>STP</t>
  </si>
  <si>
    <t>OA</t>
  </si>
  <si>
    <t>HSIP/3</t>
  </si>
  <si>
    <t>AUTHORIZED FINANCE ACTIONS /14</t>
  </si>
  <si>
    <t>/ 6</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</si>
  <si>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</si>
  <si>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</si>
  <si>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</si>
  <si>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</si>
  <si>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</si>
  <si>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</si>
  <si>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</si>
  <si>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</si>
  <si>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</si>
  <si>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</si>
  <si>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</si>
  <si>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</si>
  <si>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</si>
  <si>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</si>
  <si>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</si>
  <si>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Carry Forward to FFY 15</t>
  </si>
  <si>
    <t>LAPSING FUNDS /17</t>
  </si>
  <si>
    <t>State FY 15 amount avaiilable for authorization 7/1/14 - 9/30/14 (request must be submitted by 9/1/14)</t>
  </si>
  <si>
    <t>CURRENT YEAR FUNDS</t>
  </si>
  <si>
    <t>APPORTIONMENT LOANS, REPAYMENTS AND TRANSFERS /see Notes 7 - 12</t>
  </si>
  <si>
    <t>OA LOANS, REPAYMENTS AND TRANSFERS /see Notes 7 - 12</t>
  </si>
  <si>
    <t>Data as of:</t>
  </si>
  <si>
    <t xml:space="preserve">Federal Aid Regional Loans and Transfers Ledger
</t>
  </si>
  <si>
    <t>Action/15</t>
  </si>
  <si>
    <t>TOTAL OF  AMOUNT</t>
  </si>
  <si>
    <t>DECLINGING BALANCE OA</t>
  </si>
  <si>
    <t>Loan In</t>
  </si>
  <si>
    <t>Loan Out</t>
  </si>
  <si>
    <t>Repayment In</t>
  </si>
  <si>
    <t>Repayment Out</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</si>
  <si>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</si>
  <si>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</si>
  <si>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</si>
  <si>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r>
      <t xml:space="preserve">FFY Total Available 
</t>
    </r>
    <r>
      <rPr>
        <b/>
        <sz val="9"/>
        <color rgb="FFFF0000"/>
        <rFont val="Arial Unicode MS"/>
        <family val="2"/>
      </rPr>
      <t xml:space="preserve">**LAPSES ON 6/30** </t>
    </r>
    <r>
      <rPr>
        <sz val="9"/>
        <rFont val="Arial Unicode MS"/>
        <family val="2"/>
      </rPr>
      <t>/13</t>
    </r>
  </si>
  <si>
    <t>NACOG</t>
  </si>
  <si>
    <t>From</t>
  </si>
  <si>
    <t>To</t>
  </si>
  <si>
    <t>Project8</t>
  </si>
  <si>
    <t>Notes</t>
  </si>
  <si>
    <t>ADOT</t>
  </si>
  <si>
    <t>2012</t>
  </si>
  <si>
    <t>2015</t>
  </si>
  <si>
    <t>2014</t>
  </si>
  <si>
    <t>NACOG004</t>
  </si>
  <si>
    <t>SEAGO</t>
  </si>
  <si>
    <t>Southeastern Arizona Governments Organization</t>
  </si>
  <si>
    <t>SEAGO003</t>
  </si>
  <si>
    <t>HSIP loan from ADOT for Crawford Street project</t>
  </si>
  <si>
    <t>SEAGO002</t>
  </si>
  <si>
    <t>loan to ADOT for Graham County Reay Lane project</t>
  </si>
  <si>
    <t>2013 STP loan from NACOG</t>
  </si>
  <si>
    <t>SEAGO001</t>
  </si>
  <si>
    <t>STP Loan to MAG</t>
  </si>
  <si>
    <t>SEAGO004</t>
  </si>
  <si>
    <t>SEAGO STP LOAN TO ADOT DATED 08/29/13</t>
  </si>
  <si>
    <t>Repayment fromADOT; for Graham County Reay Lane project</t>
  </si>
  <si>
    <t>Repayment to ADOT of Sep 2012 HSIP loan for Crawford Street project</t>
  </si>
  <si>
    <t>Repay 2013 STP loan to NACOG</t>
  </si>
  <si>
    <t>Repayment from MAG of 2013 STP Loan</t>
  </si>
  <si>
    <t>PSEAG20P</t>
  </si>
  <si>
    <t>SEAG20P SPR FUNDS</t>
  </si>
  <si>
    <t>000</t>
  </si>
  <si>
    <t>H</t>
  </si>
  <si>
    <t>184</t>
  </si>
  <si>
    <t>SH47503D</t>
  </si>
  <si>
    <t>SAF-12-01</t>
  </si>
  <si>
    <t>SAFFORD</t>
  </si>
  <si>
    <t>CITY OF SAFFORD</t>
  </si>
  <si>
    <t>SAF</t>
  </si>
  <si>
    <t>205</t>
  </si>
  <si>
    <t>SH47501C</t>
  </si>
  <si>
    <t>SH60103D</t>
  </si>
  <si>
    <t>SAF14-02</t>
  </si>
  <si>
    <t>208</t>
  </si>
  <si>
    <t>SVMPO1401</t>
  </si>
  <si>
    <t>SVMPO</t>
  </si>
  <si>
    <t>2016</t>
  </si>
  <si>
    <t>SAN CARLOS ROUTE 193</t>
  </si>
  <si>
    <t>SVMPO LOAN TO SEAGO 2014</t>
  </si>
  <si>
    <t>WACOG</t>
  </si>
  <si>
    <t>SEAGO LOAN TO WACOG 2014</t>
  </si>
  <si>
    <t>DAVIS RD PROJECT</t>
  </si>
  <si>
    <t>WACOG LOAN TO SEAGO FY 15</t>
  </si>
  <si>
    <t>SH60203D</t>
  </si>
  <si>
    <t>NOGALES</t>
  </si>
  <si>
    <t>ITYWIDE TRAFFIC SIGN REPLACEMENT, NOGALES</t>
  </si>
  <si>
    <t>N0G</t>
  </si>
  <si>
    <t>207</t>
  </si>
  <si>
    <t>SIERRA VISTA</t>
  </si>
  <si>
    <t>SVS</t>
  </si>
  <si>
    <t>SH60603D</t>
  </si>
  <si>
    <t>CLF14-03</t>
  </si>
  <si>
    <t>CLIFTON</t>
  </si>
  <si>
    <t>TOWN-WIDE SIGN REPLACEMENT PROJECT, CLIFTON</t>
  </si>
  <si>
    <t>CLF</t>
  </si>
  <si>
    <t>200</t>
  </si>
  <si>
    <t>The  OA to apportionments for FFY 14 is  NOW 94.9%. Congress has provided the remainder of the OA for the federal fiscal year. As of 2/28/14 previous ledgers were estimating OA at 95.5%.</t>
  </si>
  <si>
    <t>SH45801C</t>
  </si>
  <si>
    <t>SEAGO 2010</t>
  </si>
  <si>
    <t>WILLCOX</t>
  </si>
  <si>
    <t>City of Willcox street sign replacement</t>
  </si>
  <si>
    <t>WLX</t>
  </si>
  <si>
    <t>202</t>
  </si>
  <si>
    <t>SH45401C</t>
  </si>
  <si>
    <t>FV</t>
  </si>
  <si>
    <t>AVENIDA COCHISE @ OAKMONT DRIVE IN CITY OF SIERRA VISTA</t>
  </si>
  <si>
    <t>209</t>
  </si>
  <si>
    <t>SS77501C</t>
  </si>
  <si>
    <t>BISBEE</t>
  </si>
  <si>
    <t>ARIZONA STREET; COLE AVE TO HAZARD STREET IN TOWN OF BISBEE</t>
  </si>
  <si>
    <t>BIS</t>
  </si>
  <si>
    <t>201</t>
  </si>
  <si>
    <t>NOG14-01</t>
  </si>
  <si>
    <t>RLTAP19P</t>
  </si>
  <si>
    <t>AZ LTAP</t>
  </si>
  <si>
    <t>094</t>
  </si>
  <si>
    <t>A</t>
  </si>
  <si>
    <t>420</t>
  </si>
  <si>
    <t>SAT16-01</t>
  </si>
  <si>
    <t>SAN CARLOS APACHE TRIBE - SEAGO</t>
  </si>
  <si>
    <t>ROUTE 193/ROUTE 194 PAVEMENT</t>
  </si>
  <si>
    <t>TBD</t>
  </si>
  <si>
    <t>SL72301C</t>
  </si>
  <si>
    <t>SAF12-01</t>
  </si>
  <si>
    <t>Main St from 8th Ave - Central Ave in Safford</t>
  </si>
  <si>
    <t>206</t>
  </si>
  <si>
    <t>SZ02601C</t>
  </si>
  <si>
    <t>SCC12-15</t>
  </si>
  <si>
    <t xml:space="preserve">SANTA CRUZ COUNTY             </t>
  </si>
  <si>
    <t>PENDLETON DR &amp; PALO PARADO INTERSECTION</t>
  </si>
  <si>
    <t>SSC</t>
  </si>
  <si>
    <t>Main Street, Central - 6th Ave (Safford)</t>
  </si>
  <si>
    <t>SEAGO14-L001</t>
  </si>
  <si>
    <t>SEAGO14-L002</t>
  </si>
  <si>
    <t>SEAGO STP LOAN TO ADOT DATED</t>
  </si>
  <si>
    <t>WACOG14-L001</t>
  </si>
  <si>
    <t>VARIOUS / CAG 14-02P</t>
  </si>
  <si>
    <t>TRANSFER</t>
  </si>
  <si>
    <t>Transfer</t>
  </si>
  <si>
    <t>YMPO14-L001</t>
  </si>
  <si>
    <t>YMPO</t>
  </si>
  <si>
    <t>YMPO HSIP LOAN TO SEAGO</t>
  </si>
  <si>
    <t>SEAGO REPAYMENT OF 2014 HSIP LOAN FROM YMPO</t>
  </si>
  <si>
    <t>PSG1401P</t>
  </si>
  <si>
    <t>SEAGO STP - 2014</t>
  </si>
  <si>
    <t>999</t>
  </si>
  <si>
    <t>440</t>
  </si>
  <si>
    <t>729</t>
  </si>
  <si>
    <t>City of Safford - Various</t>
  </si>
  <si>
    <t>SEAGO14-T001</t>
  </si>
  <si>
    <t>COVER HSIP SHORTAGE</t>
  </si>
  <si>
    <t>SH57103D</t>
  </si>
  <si>
    <t>GGH13-04</t>
  </si>
  <si>
    <t xml:space="preserve">GRAHAM COUNTY                 </t>
  </si>
  <si>
    <t>GRAHAM CTY REAY LANE DITCH</t>
  </si>
  <si>
    <t>GGH</t>
  </si>
  <si>
    <t>SEA14-01</t>
  </si>
  <si>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</si>
  <si>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Current FFY
Apportionments /5</t>
  </si>
  <si>
    <t>project8</t>
  </si>
  <si>
    <t>Planned Lapsing - 06/30/14</t>
  </si>
  <si>
    <t>Lapsed - 07/01/14</t>
  </si>
  <si>
    <t>Planned Lapsing - 09/30/14</t>
  </si>
  <si>
    <t>SH57102D</t>
  </si>
  <si>
    <t>Lapsing</t>
  </si>
  <si>
    <t>SEAGO-LP01</t>
  </si>
  <si>
    <t>None</t>
  </si>
  <si>
    <t>SEAGO LAPSING FUNDS - FFY14</t>
  </si>
  <si>
    <t>PSEAG21P</t>
  </si>
  <si>
    <t>SEAGO SPR FUNDS FY15</t>
  </si>
  <si>
    <t>186</t>
  </si>
  <si>
    <t>Federal Aid Transaction Ledger
Federal Fiscal Year 2014</t>
  </si>
  <si>
    <t>Year ending 09/30/2014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</si>
</sst>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4" formatCode="_(&quot;$&quot;* #,##0.00_);_(&quot;$&quot;* \(#,##0.00\);_(&quot;$&quot;* &quot;-&quot;??_);_(@_)"/>
    <numFmt numFmtId="43" formatCode="_(* #,##0.00_);_(* \(#,##0.00\);_(*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sz val="10"/>
      <color theme="0"/>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9"/>
      <name val="Arial Unicode MS"/>
      <family val="2"/>
    </font>
    <font>
      <sz val="9"/>
      <color theme="1"/>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C9FFF5"/>
        <bgColor indexed="64"/>
      </patternFill>
    </fill>
    <fill>
      <patternFill patternType="solid">
        <fgColor rgb="FFC9FFF5"/>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04">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40" fontId="14" fillId="0" borderId="0" xfId="1" applyNumberFormat="1" applyFont="1" applyAlignment="1">
      <alignment vertical="top" wrapText="1"/>
    </xf>
    <xf numFmtId="0" fontId="16" fillId="0" borderId="0" xfId="0" applyFont="1" applyAlignment="1">
      <alignment vertical="top" wrapText="1"/>
    </xf>
    <xf numFmtId="40" fontId="20" fillId="2" borderId="19" xfId="1" applyNumberFormat="1" applyFont="1" applyFill="1" applyBorder="1" applyAlignment="1">
      <alignment horizontal="center" vertical="center" wrapText="1"/>
    </xf>
    <xf numFmtId="0" fontId="16" fillId="0" borderId="0" xfId="0" applyFont="1" applyAlignment="1">
      <alignment horizontal="left" vertical="top" wrapText="1"/>
    </xf>
    <xf numFmtId="49" fontId="14" fillId="0" borderId="0" xfId="1" applyNumberFormat="1" applyFont="1" applyAlignment="1">
      <alignment vertical="top" wrapText="1"/>
    </xf>
    <xf numFmtId="40" fontId="25"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4" fillId="0" borderId="0" xfId="0" applyNumberFormat="1" applyFont="1" applyBorder="1" applyAlignment="1">
      <alignment horizontal="left" vertical="top" wrapText="1"/>
    </xf>
    <xf numFmtId="40" fontId="24"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5" fillId="0" borderId="0" xfId="0" applyNumberFormat="1" applyFont="1" applyBorder="1" applyAlignment="1">
      <alignment vertical="top" wrapText="1"/>
    </xf>
    <xf numFmtId="40" fontId="19" fillId="0" borderId="0" xfId="0" applyNumberFormat="1" applyFont="1" applyBorder="1" applyAlignment="1">
      <alignment horizontal="center" vertical="center" wrapText="1"/>
    </xf>
    <xf numFmtId="40" fontId="18" fillId="0" borderId="0" xfId="0" applyNumberFormat="1" applyFont="1" applyBorder="1" applyAlignment="1">
      <alignment horizontal="center" vertical="center" wrapText="1"/>
    </xf>
    <xf numFmtId="40" fontId="30" fillId="0" borderId="0" xfId="0" applyNumberFormat="1" applyFont="1" applyBorder="1" applyAlignment="1">
      <alignment horizontal="center" vertical="center" wrapText="1"/>
    </xf>
    <xf numFmtId="40" fontId="28" fillId="0" borderId="1" xfId="0" applyNumberFormat="1" applyFont="1" applyBorder="1" applyAlignment="1">
      <alignment horizontal="left" vertical="top" wrapText="1"/>
    </xf>
    <xf numFmtId="40" fontId="28" fillId="0" borderId="1" xfId="0" applyNumberFormat="1" applyFont="1" applyBorder="1" applyAlignment="1">
      <alignment horizontal="center" vertical="top" wrapText="1"/>
    </xf>
    <xf numFmtId="14" fontId="21" fillId="0" borderId="1" xfId="0" applyNumberFormat="1" applyFont="1" applyBorder="1" applyAlignment="1">
      <alignment horizontal="center"/>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14" fontId="21" fillId="0" borderId="0" xfId="0" applyNumberFormat="1" applyFont="1" applyBorder="1" applyAlignment="1">
      <alignment horizontal="center" vertical="center" wrapText="1"/>
    </xf>
    <xf numFmtId="14" fontId="27" fillId="0" borderId="5" xfId="0" applyNumberFormat="1" applyFont="1" applyBorder="1" applyAlignment="1">
      <alignment horizontal="right" vertical="top" wrapText="1"/>
    </xf>
    <xf numFmtId="14" fontId="19" fillId="0" borderId="0" xfId="0" applyNumberFormat="1" applyFont="1" applyBorder="1" applyAlignment="1">
      <alignment horizontal="center" vertical="center" wrapText="1"/>
    </xf>
    <xf numFmtId="14" fontId="27" fillId="0" borderId="1" xfId="0" applyNumberFormat="1" applyFont="1" applyBorder="1" applyAlignment="1">
      <alignment horizontal="right" vertical="top" wrapText="1"/>
    </xf>
    <xf numFmtId="14" fontId="18" fillId="0" borderId="0" xfId="0" applyNumberFormat="1" applyFont="1" applyBorder="1" applyAlignment="1">
      <alignment horizontal="center" vertical="center" wrapText="1"/>
    </xf>
    <xf numFmtId="14" fontId="24" fillId="0" borderId="0" xfId="0" applyNumberFormat="1" applyFont="1" applyBorder="1" applyAlignment="1">
      <alignment horizontal="right" vertical="top" wrapText="1"/>
    </xf>
    <xf numFmtId="0" fontId="25" fillId="0" borderId="0" xfId="0" applyFont="1" applyBorder="1" applyAlignment="1">
      <alignment vertical="top" wrapText="1"/>
    </xf>
    <xf numFmtId="0" fontId="25" fillId="0" borderId="0" xfId="0" applyFont="1" applyBorder="1" applyAlignment="1">
      <alignment horizontal="center" vertical="center" wrapText="1"/>
    </xf>
    <xf numFmtId="14" fontId="25" fillId="0" borderId="0" xfId="0" applyNumberFormat="1" applyFont="1" applyBorder="1" applyAlignment="1">
      <alignment horizontal="center" vertical="center" wrapText="1"/>
    </xf>
    <xf numFmtId="14" fontId="25" fillId="0" borderId="0" xfId="0" applyNumberFormat="1" applyFont="1" applyBorder="1"/>
    <xf numFmtId="40" fontId="25" fillId="0" borderId="0" xfId="0" applyNumberFormat="1" applyFont="1" applyBorder="1"/>
    <xf numFmtId="14" fontId="21" fillId="0" borderId="8" xfId="0" applyNumberFormat="1" applyFont="1" applyBorder="1" applyAlignment="1">
      <alignment horizontal="center" vertical="center" wrapText="1"/>
    </xf>
    <xf numFmtId="14" fontId="21" fillId="0" borderId="5" xfId="0" applyNumberFormat="1" applyFont="1" applyBorder="1" applyAlignment="1">
      <alignment horizontal="center" vertical="center" wrapText="1"/>
    </xf>
    <xf numFmtId="40" fontId="21" fillId="0" borderId="5" xfId="0" applyNumberFormat="1" applyFont="1" applyBorder="1" applyAlignment="1">
      <alignment horizontal="center" vertical="center" wrapText="1"/>
    </xf>
    <xf numFmtId="40" fontId="27" fillId="0" borderId="5" xfId="0" applyNumberFormat="1" applyFont="1" applyBorder="1" applyAlignment="1">
      <alignment horizontal="center" vertical="center" wrapText="1"/>
    </xf>
    <xf numFmtId="0" fontId="21" fillId="0" borderId="11" xfId="0" applyFont="1" applyBorder="1" applyAlignment="1">
      <alignment vertical="top" wrapText="1"/>
    </xf>
    <xf numFmtId="0" fontId="21" fillId="0" borderId="6" xfId="0" applyFont="1" applyBorder="1" applyAlignment="1">
      <alignment vertical="top" wrapText="1"/>
    </xf>
    <xf numFmtId="14" fontId="21" fillId="0" borderId="6" xfId="0" applyNumberFormat="1" applyFont="1" applyBorder="1" applyAlignment="1">
      <alignment vertical="top" wrapText="1"/>
    </xf>
    <xf numFmtId="14" fontId="21" fillId="0" borderId="0" xfId="0" applyNumberFormat="1" applyFont="1" applyBorder="1" applyAlignment="1">
      <alignment vertical="top" wrapText="1"/>
    </xf>
    <xf numFmtId="40" fontId="21" fillId="0" borderId="0" xfId="0" applyNumberFormat="1" applyFont="1" applyBorder="1" applyAlignment="1">
      <alignment vertical="top" wrapText="1"/>
    </xf>
    <xf numFmtId="0" fontId="20" fillId="0" borderId="0" xfId="0" applyFont="1" applyAlignment="1">
      <alignment horizontal="left" vertical="top" wrapText="1"/>
    </xf>
    <xf numFmtId="0" fontId="29" fillId="0" borderId="0" xfId="0" applyFont="1" applyAlignment="1">
      <alignment horizontal="left" vertical="top"/>
    </xf>
    <xf numFmtId="14" fontId="24" fillId="0" borderId="0" xfId="0" applyNumberFormat="1" applyFont="1" applyBorder="1" applyAlignment="1">
      <alignment vertical="top" wrapText="1"/>
    </xf>
    <xf numFmtId="40" fontId="20" fillId="2" borderId="9" xfId="0" applyNumberFormat="1" applyFont="1" applyFill="1" applyBorder="1" applyAlignment="1">
      <alignment horizontal="center" vertical="center" wrapText="1"/>
    </xf>
    <xf numFmtId="40" fontId="28" fillId="0" borderId="10" xfId="0" applyNumberFormat="1" applyFont="1" applyBorder="1" applyAlignment="1">
      <alignment horizontal="left" vertical="top" wrapText="1"/>
    </xf>
    <xf numFmtId="40" fontId="20" fillId="0" borderId="8" xfId="0" applyNumberFormat="1" applyFont="1" applyBorder="1" applyAlignment="1">
      <alignment horizontal="center" vertical="center" wrapText="1"/>
    </xf>
    <xf numFmtId="40" fontId="20" fillId="0" borderId="5" xfId="0" applyNumberFormat="1" applyFont="1" applyBorder="1" applyAlignment="1">
      <alignment horizontal="center" vertical="center" wrapText="1"/>
    </xf>
    <xf numFmtId="14" fontId="20" fillId="0" borderId="5" xfId="0" applyNumberFormat="1" applyFont="1" applyBorder="1" applyAlignment="1">
      <alignment horizontal="center" vertical="center" wrapText="1"/>
    </xf>
    <xf numFmtId="0" fontId="31" fillId="0" borderId="0" xfId="0" applyFont="1" applyAlignment="1">
      <alignment horizontal="center" vertical="center" wrapText="1"/>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2" xfId="3" applyFont="1" applyBorder="1"/>
    <xf numFmtId="43" fontId="13" fillId="0" borderId="11" xfId="3" applyFont="1" applyBorder="1"/>
    <xf numFmtId="43" fontId="13" fillId="0" borderId="6" xfId="3" applyFont="1" applyBorder="1"/>
    <xf numFmtId="43" fontId="13" fillId="0" borderId="7" xfId="3" applyFont="1" applyBorder="1"/>
    <xf numFmtId="14" fontId="0" fillId="0" borderId="0" xfId="3" applyNumberFormat="1" applyFont="1" applyAlignment="1">
      <alignment horizontal="left" vertical="center" wrapText="1"/>
    </xf>
    <xf numFmtId="40" fontId="17" fillId="0" borderId="0" xfId="0" applyNumberFormat="1" applyFont="1" applyBorder="1" applyAlignment="1">
      <alignment vertical="top" wrapText="1"/>
    </xf>
    <xf numFmtId="14" fontId="24" fillId="2" borderId="1" xfId="0" applyNumberFormat="1" applyFont="1" applyFill="1" applyBorder="1" applyAlignment="1">
      <alignment horizontal="center" vertical="center" wrapText="1"/>
    </xf>
    <xf numFmtId="14" fontId="20" fillId="0" borderId="9" xfId="1" applyNumberFormat="1" applyFont="1" applyFill="1" applyBorder="1" applyAlignment="1">
      <alignment horizontal="center" vertical="center" wrapText="1"/>
    </xf>
    <xf numFmtId="40" fontId="20" fillId="0" borderId="17" xfId="1" applyNumberFormat="1" applyFont="1" applyFill="1" applyBorder="1" applyAlignment="1">
      <alignment horizontal="center" vertical="center" wrapText="1"/>
    </xf>
    <xf numFmtId="40" fontId="20" fillId="0" borderId="5" xfId="1" applyNumberFormat="1" applyFont="1" applyFill="1" applyBorder="1" applyAlignment="1">
      <alignment horizontal="center" vertical="center" wrapText="1"/>
    </xf>
    <xf numFmtId="40" fontId="20" fillId="0" borderId="18"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3" fontId="0" fillId="0" borderId="9" xfId="3" applyFont="1" applyBorder="1"/>
    <xf numFmtId="40" fontId="30" fillId="5" borderId="6" xfId="0" applyNumberFormat="1" applyFont="1" applyFill="1" applyBorder="1" applyAlignment="1">
      <alignment horizontal="center" vertical="center" wrapText="1"/>
    </xf>
    <xf numFmtId="14" fontId="21" fillId="0" borderId="2" xfId="0" applyNumberFormat="1" applyFont="1" applyBorder="1" applyAlignment="1">
      <alignment vertical="top" wrapText="1"/>
    </xf>
    <xf numFmtId="14" fontId="21" fillId="0" borderId="2" xfId="0" applyNumberFormat="1" applyFont="1" applyFill="1" applyBorder="1" applyAlignment="1">
      <alignment vertical="top" wrapText="1"/>
    </xf>
    <xf numFmtId="14" fontId="27" fillId="0" borderId="2" xfId="0" applyNumberFormat="1" applyFont="1" applyBorder="1" applyAlignment="1">
      <alignment vertical="top" wrapText="1"/>
    </xf>
    <xf numFmtId="43" fontId="32" fillId="0" borderId="0" xfId="3" applyFont="1"/>
    <xf numFmtId="14" fontId="28" fillId="2" borderId="9" xfId="0" applyNumberFormat="1" applyFont="1" applyFill="1" applyBorder="1" applyAlignment="1">
      <alignment horizontal="center" vertical="top" wrapText="1"/>
    </xf>
    <xf numFmtId="43" fontId="33" fillId="0" borderId="0" xfId="3" applyFont="1"/>
    <xf numFmtId="43" fontId="34" fillId="0" borderId="0" xfId="3" applyFont="1"/>
    <xf numFmtId="40" fontId="28" fillId="0" borderId="0" xfId="0" applyNumberFormat="1" applyFont="1" applyBorder="1" applyAlignment="1">
      <alignment horizontal="right" vertical="top" wrapText="1"/>
    </xf>
    <xf numFmtId="0" fontId="21" fillId="0" borderId="0" xfId="0" applyFont="1" applyAlignment="1">
      <alignment vertical="top" wrapText="1"/>
    </xf>
    <xf numFmtId="40" fontId="21" fillId="0" borderId="0" xfId="0" applyNumberFormat="1" applyFont="1" applyBorder="1" applyAlignment="1">
      <alignment horizontal="right" vertical="top" wrapText="1"/>
    </xf>
    <xf numFmtId="40" fontId="28" fillId="0" borderId="11" xfId="0" applyNumberFormat="1" applyFont="1" applyBorder="1" applyAlignment="1">
      <alignment horizontal="left" vertical="top" wrapText="1"/>
    </xf>
    <xf numFmtId="40" fontId="28" fillId="0" borderId="6" xfId="0" applyNumberFormat="1" applyFont="1" applyBorder="1" applyAlignment="1">
      <alignment horizontal="left" vertical="top" wrapText="1"/>
    </xf>
    <xf numFmtId="40" fontId="28" fillId="0" borderId="6" xfId="0" applyNumberFormat="1" applyFont="1" applyBorder="1" applyAlignment="1">
      <alignment horizontal="center" vertical="top" wrapText="1"/>
    </xf>
    <xf numFmtId="14" fontId="21" fillId="0" borderId="6" xfId="0" applyNumberFormat="1" applyFont="1" applyBorder="1" applyAlignment="1">
      <alignment horizontal="center"/>
    </xf>
    <xf numFmtId="40" fontId="20" fillId="0" borderId="0" xfId="0" applyNumberFormat="1" applyFont="1" applyFill="1" applyBorder="1" applyAlignment="1">
      <alignment horizontal="center" vertical="center" wrapText="1"/>
    </xf>
    <xf numFmtId="14" fontId="23" fillId="0" borderId="0" xfId="0" applyNumberFormat="1" applyFont="1" applyBorder="1" applyAlignment="1">
      <alignment horizontal="right" vertical="top"/>
    </xf>
    <xf numFmtId="14" fontId="27" fillId="0" borderId="0" xfId="0" applyNumberFormat="1" applyFont="1" applyBorder="1" applyAlignment="1">
      <alignment horizontal="right" vertical="top"/>
    </xf>
    <xf numFmtId="40" fontId="28" fillId="0" borderId="6" xfId="0" applyNumberFormat="1" applyFont="1" applyFill="1" applyBorder="1" applyAlignment="1">
      <alignment horizontal="right" vertical="center"/>
    </xf>
    <xf numFmtId="43" fontId="21" fillId="0" borderId="1" xfId="0" applyNumberFormat="1" applyFont="1" applyFill="1" applyBorder="1" applyAlignment="1">
      <alignment horizontal="right" vertical="center"/>
    </xf>
    <xf numFmtId="40" fontId="28" fillId="5" borderId="6" xfId="0" applyNumberFormat="1" applyFont="1" applyFill="1" applyBorder="1" applyAlignment="1">
      <alignment horizontal="right" vertical="center"/>
    </xf>
    <xf numFmtId="40" fontId="21" fillId="0" borderId="1" xfId="0" applyNumberFormat="1" applyFont="1" applyFill="1" applyBorder="1" applyAlignment="1">
      <alignment vertical="top"/>
    </xf>
    <xf numFmtId="40" fontId="21" fillId="5" borderId="1" xfId="0" applyNumberFormat="1" applyFont="1" applyFill="1" applyBorder="1" applyAlignment="1">
      <alignment vertical="top"/>
    </xf>
    <xf numFmtId="39" fontId="21" fillId="5" borderId="1" xfId="0" applyNumberFormat="1" applyFont="1" applyFill="1" applyBorder="1" applyAlignment="1">
      <alignment horizontal="right" vertical="center"/>
    </xf>
    <xf numFmtId="40" fontId="28" fillId="0" borderId="1" xfId="3" applyNumberFormat="1" applyFont="1" applyBorder="1" applyAlignment="1">
      <alignment horizontal="right" vertical="top"/>
    </xf>
    <xf numFmtId="43" fontId="28" fillId="0" borderId="2" xfId="3" applyFont="1" applyBorder="1" applyAlignment="1">
      <alignment horizontal="right" vertical="top"/>
    </xf>
    <xf numFmtId="40" fontId="28" fillId="0" borderId="6" xfId="3" applyNumberFormat="1" applyFont="1" applyBorder="1" applyAlignment="1">
      <alignment horizontal="right" vertical="top"/>
    </xf>
    <xf numFmtId="40" fontId="21" fillId="0" borderId="5" xfId="0" applyNumberFormat="1" applyFont="1" applyBorder="1" applyAlignment="1">
      <alignment horizontal="right" vertical="top"/>
    </xf>
    <xf numFmtId="0" fontId="21" fillId="0" borderId="0" xfId="0" applyFont="1" applyBorder="1" applyAlignment="1">
      <alignment vertical="top"/>
    </xf>
    <xf numFmtId="40" fontId="21" fillId="0" borderId="1" xfId="0" applyNumberFormat="1" applyFont="1" applyBorder="1" applyAlignment="1">
      <alignment vertical="top"/>
    </xf>
    <xf numFmtId="40" fontId="21" fillId="0" borderId="6" xfId="0" applyNumberFormat="1" applyFont="1" applyBorder="1" applyAlignment="1">
      <alignment vertical="top"/>
    </xf>
    <xf numFmtId="40" fontId="21" fillId="0" borderId="6" xfId="3" applyNumberFormat="1" applyFont="1" applyBorder="1" applyAlignment="1">
      <alignment vertical="top"/>
    </xf>
    <xf numFmtId="43" fontId="21" fillId="0" borderId="7" xfId="0" applyNumberFormat="1" applyFont="1" applyBorder="1" applyAlignment="1">
      <alignment vertical="top"/>
    </xf>
    <xf numFmtId="40" fontId="21" fillId="0" borderId="0" xfId="0" applyNumberFormat="1" applyFont="1" applyBorder="1" applyAlignment="1">
      <alignment vertical="top"/>
    </xf>
    <xf numFmtId="40" fontId="21" fillId="0" borderId="3" xfId="0" applyNumberFormat="1" applyFont="1" applyBorder="1" applyAlignment="1">
      <alignment horizontal="right" vertical="top"/>
    </xf>
    <xf numFmtId="40" fontId="21" fillId="0" borderId="1" xfId="0" applyNumberFormat="1" applyFont="1" applyBorder="1" applyAlignment="1">
      <alignment horizontal="right" vertical="top"/>
    </xf>
    <xf numFmtId="40" fontId="21" fillId="0" borderId="1" xfId="0" applyNumberFormat="1" applyFont="1" applyFill="1" applyBorder="1" applyAlignment="1">
      <alignment horizontal="right" vertical="top"/>
    </xf>
    <xf numFmtId="40" fontId="21" fillId="0" borderId="4" xfId="0" applyNumberFormat="1" applyFont="1" applyFill="1" applyBorder="1" applyAlignment="1">
      <alignment horizontal="right" vertical="top"/>
    </xf>
    <xf numFmtId="40" fontId="21" fillId="0" borderId="3" xfId="0" applyNumberFormat="1" applyFont="1" applyFill="1" applyBorder="1" applyAlignment="1">
      <alignment horizontal="right" vertical="top"/>
    </xf>
    <xf numFmtId="40" fontId="21" fillId="0" borderId="20" xfId="0" applyNumberFormat="1" applyFont="1" applyFill="1" applyBorder="1" applyAlignment="1">
      <alignment vertical="top"/>
    </xf>
    <xf numFmtId="40" fontId="21" fillId="0" borderId="10" xfId="0" applyNumberFormat="1" applyFont="1" applyFill="1" applyBorder="1" applyAlignment="1">
      <alignment vertical="top"/>
    </xf>
    <xf numFmtId="40" fontId="21" fillId="0" borderId="3" xfId="0" applyNumberFormat="1" applyFont="1" applyFill="1" applyBorder="1" applyAlignment="1">
      <alignment vertical="top"/>
    </xf>
    <xf numFmtId="40" fontId="27" fillId="0" borderId="20" xfId="0" applyNumberFormat="1" applyFont="1" applyFill="1" applyBorder="1" applyAlignment="1">
      <alignment horizontal="right" vertical="top"/>
    </xf>
    <xf numFmtId="40" fontId="27" fillId="0" borderId="1" xfId="0" applyNumberFormat="1" applyFont="1" applyFill="1" applyBorder="1" applyAlignment="1">
      <alignment horizontal="right" vertical="top"/>
    </xf>
    <xf numFmtId="40" fontId="27" fillId="0" borderId="10" xfId="0" applyNumberFormat="1" applyFont="1" applyFill="1" applyBorder="1" applyAlignment="1">
      <alignment horizontal="right" vertical="top"/>
    </xf>
    <xf numFmtId="40" fontId="27" fillId="0" borderId="4" xfId="0" applyNumberFormat="1" applyFont="1" applyFill="1" applyBorder="1" applyAlignment="1">
      <alignment horizontal="right" vertical="top"/>
    </xf>
    <xf numFmtId="40" fontId="27" fillId="0" borderId="3" xfId="0" applyNumberFormat="1" applyFont="1" applyFill="1" applyBorder="1" applyAlignment="1">
      <alignment horizontal="right" vertical="top"/>
    </xf>
    <xf numFmtId="40" fontId="35" fillId="0" borderId="11" xfId="0" applyNumberFormat="1" applyFont="1" applyBorder="1" applyAlignment="1">
      <alignment horizontal="left" vertical="top" wrapText="1"/>
    </xf>
    <xf numFmtId="40" fontId="35" fillId="0" borderId="6" xfId="0" applyNumberFormat="1" applyFont="1" applyBorder="1" applyAlignment="1">
      <alignment horizontal="left" vertical="top" wrapText="1"/>
    </xf>
    <xf numFmtId="40" fontId="35" fillId="0" borderId="6" xfId="0" applyNumberFormat="1" applyFont="1" applyBorder="1" applyAlignment="1">
      <alignment horizontal="center" vertical="top" wrapText="1"/>
    </xf>
    <xf numFmtId="14" fontId="36" fillId="0" borderId="6" xfId="0" applyNumberFormat="1" applyFont="1" applyBorder="1" applyAlignment="1">
      <alignment horizontal="center"/>
    </xf>
    <xf numFmtId="40" fontId="35" fillId="0" borderId="6" xfId="3" applyNumberFormat="1" applyFont="1" applyBorder="1" applyAlignment="1">
      <alignment horizontal="right" vertical="top"/>
    </xf>
    <xf numFmtId="40" fontId="28" fillId="0" borderId="21" xfId="0" applyNumberFormat="1" applyFont="1" applyBorder="1" applyAlignment="1">
      <alignment horizontal="left" vertical="top" wrapText="1"/>
    </xf>
    <xf numFmtId="40" fontId="28" fillId="0" borderId="22" xfId="0" applyNumberFormat="1" applyFont="1" applyBorder="1" applyAlignment="1">
      <alignment horizontal="left" vertical="top" wrapText="1"/>
    </xf>
    <xf numFmtId="40" fontId="28" fillId="0" borderId="22" xfId="0" applyNumberFormat="1" applyFont="1" applyBorder="1" applyAlignment="1">
      <alignment horizontal="center" vertical="top" wrapText="1"/>
    </xf>
    <xf numFmtId="14" fontId="21" fillId="0" borderId="22" xfId="0" applyNumberFormat="1" applyFont="1" applyBorder="1" applyAlignment="1">
      <alignment horizontal="center"/>
    </xf>
    <xf numFmtId="40" fontId="28" fillId="0" borderId="22" xfId="3" applyNumberFormat="1" applyFont="1" applyBorder="1" applyAlignment="1">
      <alignment horizontal="right" vertical="top"/>
    </xf>
    <xf numFmtId="40" fontId="21" fillId="0" borderId="6" xfId="0" applyNumberFormat="1" applyFont="1" applyBorder="1" applyAlignment="1">
      <alignment horizontal="right" vertical="top"/>
    </xf>
    <xf numFmtId="40" fontId="38" fillId="0" borderId="11" xfId="0" applyNumberFormat="1" applyFont="1" applyBorder="1" applyAlignment="1">
      <alignment horizontal="left" vertical="top" wrapText="1"/>
    </xf>
    <xf numFmtId="40" fontId="38" fillId="0" borderId="6" xfId="0" applyNumberFormat="1" applyFont="1" applyBorder="1" applyAlignment="1">
      <alignment horizontal="left" vertical="top" wrapText="1"/>
    </xf>
    <xf numFmtId="40" fontId="38" fillId="0" borderId="6" xfId="0" applyNumberFormat="1" applyFont="1" applyBorder="1" applyAlignment="1">
      <alignment horizontal="center" vertical="top" wrapText="1"/>
    </xf>
    <xf numFmtId="14" fontId="37" fillId="0" borderId="6" xfId="0" applyNumberFormat="1" applyFont="1" applyBorder="1" applyAlignment="1">
      <alignment horizontal="center"/>
    </xf>
    <xf numFmtId="40" fontId="38" fillId="0" borderId="6" xfId="3" applyNumberFormat="1" applyFont="1" applyBorder="1" applyAlignment="1">
      <alignment horizontal="right" vertical="top"/>
    </xf>
    <xf numFmtId="40" fontId="38" fillId="0" borderId="21" xfId="0" applyNumberFormat="1" applyFont="1" applyBorder="1" applyAlignment="1">
      <alignment horizontal="left" vertical="top" wrapText="1"/>
    </xf>
    <xf numFmtId="40" fontId="38" fillId="0" borderId="22" xfId="0" applyNumberFormat="1" applyFont="1" applyBorder="1" applyAlignment="1">
      <alignment horizontal="left" vertical="top" wrapText="1"/>
    </xf>
    <xf numFmtId="40" fontId="38" fillId="0" borderId="22" xfId="0" applyNumberFormat="1" applyFont="1" applyBorder="1" applyAlignment="1">
      <alignment horizontal="center" vertical="top" wrapText="1"/>
    </xf>
    <xf numFmtId="14" fontId="37" fillId="0" borderId="22" xfId="0" applyNumberFormat="1" applyFont="1" applyBorder="1" applyAlignment="1">
      <alignment horizontal="center"/>
    </xf>
    <xf numFmtId="40" fontId="38" fillId="0" borderId="22" xfId="3" applyNumberFormat="1" applyFont="1" applyBorder="1" applyAlignment="1">
      <alignment horizontal="right" vertical="top"/>
    </xf>
    <xf numFmtId="40" fontId="24" fillId="0" borderId="12" xfId="0" applyNumberFormat="1" applyFont="1" applyBorder="1" applyAlignment="1">
      <alignment horizontal="center" vertical="top" wrapText="1"/>
    </xf>
    <xf numFmtId="0" fontId="5" fillId="0" borderId="0" xfId="0" applyFont="1" applyAlignment="1">
      <alignment horizontal="left" vertical="top" wrapText="1"/>
    </xf>
    <xf numFmtId="0" fontId="29" fillId="0" borderId="0" xfId="0" applyFont="1" applyAlignment="1">
      <alignment horizontal="left" vertical="top" wrapText="1"/>
    </xf>
    <xf numFmtId="40" fontId="30" fillId="4" borderId="13" xfId="1" applyNumberFormat="1" applyFont="1" applyFill="1" applyBorder="1" applyAlignment="1">
      <alignment horizontal="center" vertical="center" wrapText="1"/>
    </xf>
    <xf numFmtId="40" fontId="30" fillId="4" borderId="14" xfId="1" applyNumberFormat="1" applyFont="1" applyFill="1" applyBorder="1" applyAlignment="1">
      <alignment horizontal="center" vertical="center" wrapText="1"/>
    </xf>
    <xf numFmtId="40" fontId="30" fillId="4" borderId="15" xfId="1" applyNumberFormat="1" applyFont="1" applyFill="1" applyBorder="1" applyAlignment="1">
      <alignment horizontal="center" vertical="center" wrapText="1"/>
    </xf>
    <xf numFmtId="0" fontId="14" fillId="0" borderId="0" xfId="0" applyFont="1" applyAlignment="1">
      <alignment horizontal="left" vertical="top" wrapText="1"/>
    </xf>
    <xf numFmtId="40" fontId="16" fillId="0" borderId="16" xfId="0" applyNumberFormat="1" applyFont="1" applyBorder="1" applyAlignment="1">
      <alignment horizontal="center" vertical="center" wrapText="1"/>
    </xf>
    <xf numFmtId="14" fontId="16" fillId="0" borderId="7" xfId="0" applyNumberFormat="1" applyFont="1" applyBorder="1" applyAlignment="1">
      <alignment horizontal="center" vertical="top" wrapText="1"/>
    </xf>
    <xf numFmtId="14" fontId="16" fillId="0" borderId="16"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14" fontId="0" fillId="0" borderId="0" xfId="0" applyNumberFormat="1" applyAlignment="1">
      <alignment horizontal="left" vertical="center" wrapText="1"/>
    </xf>
  </cellXfs>
  <cellStyles count="4">
    <cellStyle name="Comma" xfId="3" builtinId="3"/>
    <cellStyle name="Currency" xfId="1" builtinId="4"/>
    <cellStyle name="Normal" xfId="0" builtinId="0"/>
    <cellStyle name="Normal_Notes" xfId="2"/>
  </cellStyles>
  <dxfs count="10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numFmt numFmtId="35" formatCode="_(* #,##0.00_);_(* \(#,##0.00\);_(* &quot;-&quot;??_);_(@_)"/>
      <alignment horizontal="general" vertical="top" textRotation="0" wrapText="0" indent="0" justifyLastLine="0" shrinkToFit="0" readingOrder="0"/>
      <border diagonalUp="0" diagonalDown="0">
        <left style="thin">
          <color indexed="64"/>
        </left>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theme="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8" formatCode="#,##0.00_);[Red]\(#,##0.00\)"/>
      <alignment horizontal="general"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general" vertical="top" textRotation="0" wrapText="1" indent="0" justifyLastLine="0" shrinkToFit="0" readingOrder="0"/>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bottom style="thin">
          <color indexed="64"/>
        </bottom>
      </border>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color auto="1"/>
        <name val="Arial Unicode MS"/>
        <scheme val="none"/>
      </font>
      <numFmt numFmtId="35" formatCode="_(* #,##0.00_);_(* \(#,##0.00\);_(* &quot;-&quot;??_);_(@_)"/>
      <alignment horizontal="right" vertical="top" textRotation="0" wrapText="0" indent="0" justifyLastLine="0" shrinkToFit="0" readingOrder="0"/>
      <border diagonalUp="0" diagonalDown="0">
        <left style="thin">
          <color indexed="64"/>
        </left>
        <right/>
        <top style="thin">
          <color indexed="64"/>
        </top>
        <bottom style="thin">
          <color indexed="64"/>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right" vertical="top"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name val="Arial Unicode MS"/>
        <scheme val="none"/>
      </font>
      <numFmt numFmtId="19" formatCode="m/d/yyyy"/>
      <alignment horizontal="center" vertical="bottom"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strike val="0"/>
        <outline val="0"/>
        <shadow val="0"/>
        <u val="none"/>
        <vertAlign val="baseline"/>
        <sz val="9"/>
        <color auto="1"/>
        <name val="Arial Unicode MS"/>
        <scheme val="none"/>
      </font>
      <numFmt numFmtId="8" formatCode="#,##0.00_);[Red]\(#,##0.00\)"/>
      <alignment horizontal="left" vertical="top" textRotation="0" wrapText="1" indent="0" justifyLastLine="0" shrinkToFit="0" readingOrder="0"/>
      <border diagonalUp="0" diagonalDown="0">
        <left/>
        <right style="thin">
          <color indexed="64"/>
        </right>
        <top style="thin">
          <color indexed="64"/>
        </top>
        <bottom/>
        <vertical/>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strike val="0"/>
        <outline val="0"/>
        <shadow val="0"/>
        <u val="none"/>
        <vertAlign val="baseline"/>
        <sz val="9"/>
        <name val="Arial Unicode MS"/>
        <scheme val="none"/>
      </font>
      <numFmt numFmtId="164" formatCode="mm/dd/yyyy"/>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C9FFF5"/>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06"/>
      <tableStyleElement type="firstRowStripe" dxfId="105"/>
    </tableStyle>
    <tableStyle name="Table Style 2" pivot="0" count="1">
      <tableStyleElement type="firstRowStripe" dxfId="104"/>
    </tableStyle>
    <tableStyle name="Table Style 3" pivot="0" count="1">
      <tableStyleElement type="firstRowStripe" dxfId="103"/>
    </tableStyle>
    <tableStyle name="Table Style 4" pivot="0" count="3">
      <tableStyleElement type="wholeTable" dxfId="102"/>
      <tableStyleElement type="headerRow" dxfId="101"/>
      <tableStyleElement type="firstRowStripe" dxfId="100"/>
    </tableStyle>
  </tableStyles>
  <colors>
    <mruColors>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_1" connectionId="1"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2.xml><?xml version="1.0" encoding="utf-8"?>
<queryTable xmlns="http://schemas.openxmlformats.org/spreadsheetml/2006/main" name="Query from MS Access Database_2" connectionId="4" autoFormatId="16" applyNumberFormats="0" applyBorderFormats="0" applyFontFormats="0" applyPatternFormats="0" applyAlignmentFormats="0" applyWidthHeightFormats="0">
  <queryTableRefresh nextId="19" unboundColumnsRight="2">
    <queryTableFields count="18">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16" dataBound="0" tableColumnId="16"/>
      <queryTableField id="9" name="PB Expected" tableColumnId="9"/>
      <queryTableField id="10" name="PB Received" tableColumnId="10"/>
      <queryTableField id="11" name="PF Transmitted" tableColumnId="11"/>
      <queryTableField id="12" name="Finance Authorization" tableColumnId="12"/>
      <queryTableField id="13" name="HSIP" tableColumnId="13"/>
      <queryTableField id="14" name="SPR" tableColumnId="14"/>
      <queryTableField id="15" name="STP OTHER" tableColumnId="15"/>
      <queryTableField id="17" dataBound="0" tableColumnId="17"/>
      <queryTableField id="18" dataBound="0" tableColumnId="18"/>
    </queryTableFields>
  </queryTableRefresh>
</queryTable>
</file>

<file path=xl/queryTables/queryTable3.xml><?xml version="1.0" encoding="utf-8"?>
<queryTable xmlns="http://schemas.openxmlformats.org/spreadsheetml/2006/main" name="Query from MS Access Database" connectionId="2" autoFormatId="16" applyNumberFormats="0" applyBorderFormats="0" applyFontFormats="0" applyPatternFormats="0" applyAlignmentFormats="0" applyWidthHeightFormats="0">
  <queryTableRefresh nextId="23">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19" name="From" tableColumnId="4"/>
      <queryTableField id="20" name="To" tableColumnId="5"/>
      <queryTableField id="21" name="Project8" tableColumnId="7"/>
      <queryTableField id="22" name="Notes" tableColumnId="8"/>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7">
    <queryTableFields count="18">
      <queryTableField id="1" name="Transaction Year" tableColumnId="1"/>
      <queryTableField id="2" name="Transaction Type" tableColumnId="2"/>
      <queryTableField id="3" name="Number" tableColumnId="3"/>
      <queryTableField id="6" name="Repayment Year" tableColumnId="6"/>
      <queryTableField id="9" name="Total" tableColumnId="9"/>
      <queryTableField id="10" name="CMAQ" tableColumnId="10"/>
      <queryTableField id="11" name="CMAQ 2_5" tableColumnId="11"/>
      <queryTableField id="12" name="HSIP" tableColumnId="12"/>
      <queryTableField id="13" name="PL" tableColumnId="13"/>
      <queryTableField id="14" name="SPR" tableColumnId="14"/>
      <queryTableField id="15" name="STP other" tableColumnId="15"/>
      <queryTableField id="16" name="STP over 200K" tableColumnId="16"/>
      <queryTableField id="17" name="TA other" tableColumnId="17"/>
      <queryTableField id="18" name="TA over 200K" tableColumnId="18"/>
      <queryTableField id="23" name="From" tableColumnId="43"/>
      <queryTableField id="24" name="To" tableColumnId="44"/>
      <queryTableField id="25" name="Project8" tableColumnId="45"/>
      <queryTableField id="26" name="Notes" tableColumnId="46"/>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R12" totalsRowShown="0" headerRowDxfId="99" dataDxfId="97" headerRowBorderDxfId="98" tableBorderDxfId="96" totalsRowBorderDxfId="95" headerRowCellStyle="Currency">
  <autoFilter ref="M3:R12"/>
  <tableColumns count="6">
    <tableColumn id="1" name="Description" dataDxfId="94"/>
    <tableColumn id="4" name="HSIP/3" dataDxfId="93"/>
    <tableColumn id="5" name="SPR /4" dataDxfId="92"/>
    <tableColumn id="6" name="STP other" dataDxfId="91"/>
    <tableColumn id="7" name="Total" dataDxfId="90"/>
    <tableColumn id="8" name="FFY OBLIGATION AUTHORITY /2" dataDxfId="89"/>
  </tableColumns>
  <tableStyleInfo name="Table Style 4" showFirstColumn="0" showLastColumn="0" showRowStripes="1" showColumnStripes="0"/>
</table>
</file>

<file path=xl/tables/table2.xml><?xml version="1.0" encoding="utf-8"?>
<table xmlns="http://schemas.openxmlformats.org/spreadsheetml/2006/main" id="2" name="Table_Query_from_MS_Access_Database_1" displayName="Table_Query_from_MS_Access_Database_1" ref="A15:R35" tableType="queryTable" totalsRowShown="0" headerRowDxfId="88" dataDxfId="86" headerRowBorderDxfId="87" tableBorderDxfId="85" totalsRowBorderDxfId="84">
  <autoFilter ref="A15:R35"/>
  <tableColumns count="18">
    <tableColumn id="1" uniqueName="1" name="ADOT#" queryTableFieldId="1" dataDxfId="83"/>
    <tableColumn id="2" uniqueName="2" name="TIP#" queryTableFieldId="2" dataDxfId="82"/>
    <tableColumn id="3" uniqueName="3" name="Sponsor" queryTableFieldId="3" dataDxfId="81"/>
    <tableColumn id="4" uniqueName="4" name="Action/15" queryTableFieldId="4" dataDxfId="80"/>
    <tableColumn id="5" uniqueName="5" name="Location" queryTableFieldId="5" dataDxfId="79"/>
    <tableColumn id="6" uniqueName="6" name="RTE" queryTableFieldId="6" dataDxfId="78"/>
    <tableColumn id="7" uniqueName="7" name="SEC" queryTableFieldId="7" dataDxfId="77"/>
    <tableColumn id="8" uniqueName="8" name="SEQ" queryTableFieldId="8" dataDxfId="76"/>
    <tableColumn id="16" uniqueName="16" name="FED #" queryTableFieldId="16" dataDxfId="75">
      <calculatedColumnFormula>CONCATENATE(Table_Query_from_MS_Access_Database_1[[#This Row],[RTE]],Table_Query_from_MS_Access_Database_1[[#This Row],[SEC]],Table_Query_from_MS_Access_Database_1[[#This Row],[SEQ]])</calculatedColumnFormula>
    </tableColumn>
    <tableColumn id="9" uniqueName="9" name="PB Expected" queryTableFieldId="9" dataDxfId="74"/>
    <tableColumn id="10" uniqueName="10" name="PB Received" queryTableFieldId="10" dataDxfId="73"/>
    <tableColumn id="11" uniqueName="11" name="PF Transmitted" queryTableFieldId="11" dataDxfId="72"/>
    <tableColumn id="12" uniqueName="12" name="Finance Authorization" queryTableFieldId="12" dataDxfId="71"/>
    <tableColumn id="13" uniqueName="13" name="HSIP" queryTableFieldId="13" dataDxfId="70" dataCellStyle="Comma"/>
    <tableColumn id="14" uniqueName="14" name="SPR" queryTableFieldId="14" dataDxfId="69" dataCellStyle="Comma"/>
    <tableColumn id="15" uniqueName="15" name="STP OTHER" queryTableFieldId="15" dataDxfId="68" dataCellStyle="Comma"/>
    <tableColumn id="17" uniqueName="17" name="TOTAL OF  AMOUNT" queryTableFieldId="17" dataDxfId="67" dataCellStyle="Comma">
      <calculatedColumnFormula>+Table_Query_from_MS_Access_Database_1[[#This Row],[HSIP]]+Table_Query_from_MS_Access_Database_1[[#This Row],[SPR]]+Table_Query_from_MS_Access_Database_1[[#This Row],[STP OTHER]]</calculatedColumnFormula>
    </tableColumn>
    <tableColumn id="18" uniqueName="18" name="DECLINGING BALANCE OA" queryTableFieldId="18" dataDxfId="66" dataCellStyle="Comma">
      <calculatedColumnFormula>R12-Table_Query_from_MS_Access_Database_1[TOTAL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6" name="Table_Query_from_MS_Access_Database_2" displayName="Table_Query_from_MS_Access_Database_2" ref="A40:R41" tableType="queryTable" totalsRowShown="0" headerRowDxfId="65" dataDxfId="63" headerRowBorderDxfId="64" tableBorderDxfId="62" totalsRowBorderDxfId="61">
  <autoFilter ref="A40:R41"/>
  <tableColumns count="18">
    <tableColumn id="1" uniqueName="1" name="ADOT#" queryTableFieldId="1" dataDxfId="60"/>
    <tableColumn id="2" uniqueName="2" name="TIP#" queryTableFieldId="2" dataDxfId="59"/>
    <tableColumn id="3" uniqueName="3" name="Sponsor" queryTableFieldId="3" dataDxfId="58"/>
    <tableColumn id="4" uniqueName="4" name="Action/15" queryTableFieldId="4" dataDxfId="57"/>
    <tableColumn id="5" uniqueName="5" name="Location" queryTableFieldId="5" dataDxfId="56"/>
    <tableColumn id="6" uniqueName="6" name="RTE" queryTableFieldId="6" dataDxfId="55"/>
    <tableColumn id="7" uniqueName="7" name="SEC" queryTableFieldId="7" dataDxfId="54"/>
    <tableColumn id="8" uniqueName="8" name="SEQ" queryTableFieldId="8" dataDxfId="53"/>
    <tableColumn id="16" uniqueName="16" name="FED #" queryTableFieldId="16" dataDxfId="52">
      <calculatedColumnFormula>CONCATENATE(Table_Query_from_MS_Access_Database_2[RTE],Table_Query_from_MS_Access_Database_2[SEC],Table_Query_from_MS_Access_Database_2[SEQ])</calculatedColumnFormula>
    </tableColumn>
    <tableColumn id="9" uniqueName="9" name="PB Expected" queryTableFieldId="9" dataDxfId="51"/>
    <tableColumn id="10" uniqueName="10" name="PB Received" queryTableFieldId="10" dataDxfId="50"/>
    <tableColumn id="11" uniqueName="11" name="PF Transmitted" queryTableFieldId="11" dataDxfId="49"/>
    <tableColumn id="12" uniqueName="12" name="Finance Authorization" queryTableFieldId="12" dataDxfId="48"/>
    <tableColumn id="13" uniqueName="13" name="HSIP" queryTableFieldId="13" dataDxfId="47"/>
    <tableColumn id="14" uniqueName="14" name="SPR" queryTableFieldId="14" dataDxfId="46"/>
    <tableColumn id="15" uniqueName="15" name="STP OTHER" queryTableFieldId="15" dataDxfId="45"/>
    <tableColumn id="17" uniqueName="17" name="TOTAL OF AMOUNT" queryTableFieldId="17" dataDxfId="44" dataCellStyle="Comma">
      <calculatedColumnFormula>+Table_Query_from_MS_Access_Database_2[HSIP]+Table_Query_from_MS_Access_Database_2[SPR]+Table_Query_from_MS_Access_Database_2[STP OTHER]</calculatedColumnFormula>
    </tableColumn>
    <tableColumn id="18" uniqueName="18" name="EXPECTED DECLINING BALANCE OA" queryTableFieldId="18" dataDxfId="43">
      <calculatedColumnFormula>R35-Table_Query_from_MS_Access_Database_2[TOTAL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R33" tableType="queryTable" totalsRowShown="0" headerRowDxfId="42" headerRowBorderDxfId="41" tableBorderDxfId="40" totalsRowBorderDxfId="39" headerRowCellStyle="Comma" dataCellStyle="Comma">
  <autoFilter ref="A11:R33"/>
  <tableColumns count="18">
    <tableColumn id="1" uniqueName="1" name="Transaction Year" queryTableFieldId="1" dataDxfId="38" dataCellStyle="Comma"/>
    <tableColumn id="2" uniqueName="2" name="Transaction Type" queryTableFieldId="2" dataDxfId="37" dataCellStyle="Comma"/>
    <tableColumn id="3" uniqueName="3" name="Number" queryTableFieldId="3" dataDxfId="36" dataCellStyle="Comma"/>
    <tableColumn id="6" uniqueName="6" name="Repayment Year" queryTableFieldId="6" dataDxfId="35" dataCellStyle="Comma"/>
    <tableColumn id="9" uniqueName="9" name="Total" queryTableFieldId="9" dataDxfId="34" dataCellStyle="Comma"/>
    <tableColumn id="10" uniqueName="10" name="CMAQ" queryTableFieldId="10" dataDxfId="33" dataCellStyle="Comma"/>
    <tableColumn id="11" uniqueName="11" name="CMAQ 2_5" queryTableFieldId="11" dataDxfId="32" dataCellStyle="Comma"/>
    <tableColumn id="12" uniqueName="12" name="HSIP" queryTableFieldId="12" dataDxfId="31" dataCellStyle="Comma"/>
    <tableColumn id="13" uniqueName="13" name="PL" queryTableFieldId="13" dataDxfId="30" dataCellStyle="Comma"/>
    <tableColumn id="14" uniqueName="14" name="SPR" queryTableFieldId="14" dataDxfId="29" dataCellStyle="Comma"/>
    <tableColumn id="15" uniqueName="15" name="STP other" queryTableFieldId="15" dataDxfId="28" dataCellStyle="Comma"/>
    <tableColumn id="16" uniqueName="16" name="STP over 200K" queryTableFieldId="16" dataDxfId="27" dataCellStyle="Comma"/>
    <tableColumn id="17" uniqueName="17" name="TA other" queryTableFieldId="17" dataDxfId="26" dataCellStyle="Comma"/>
    <tableColumn id="18" uniqueName="18" name="TA over 200K" queryTableFieldId="18" dataDxfId="25" dataCellStyle="Comma"/>
    <tableColumn id="4" uniqueName="4" name="From" queryTableFieldId="19" dataDxfId="24" dataCellStyle="Comma"/>
    <tableColumn id="5" uniqueName="5" name="To" queryTableFieldId="20" dataDxfId="23" dataCellStyle="Comma"/>
    <tableColumn id="7" uniqueName="7" name="Project8" queryTableFieldId="21" dataDxfId="22" dataCellStyle="Comma"/>
    <tableColumn id="8" uniqueName="8" name="Notes" queryTableFieldId="22" dataDxfId="2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9:R60" tableType="queryTable" totalsRowShown="0" headerRowDxfId="20" dataDxfId="19" tableBorderDxfId="18" headerRowCellStyle="Comma" dataCellStyle="Comma">
  <autoFilter ref="A39:R60"/>
  <tableColumns count="18">
    <tableColumn id="1" uniqueName="1" name="Transaction Year" queryTableFieldId="1" dataDxfId="17" dataCellStyle="Comma"/>
    <tableColumn id="2" uniqueName="2" name="Transaction Type" queryTableFieldId="2" dataDxfId="16" dataCellStyle="Comma"/>
    <tableColumn id="3" uniqueName="3" name="Number" queryTableFieldId="3" dataDxfId="15" dataCellStyle="Comma"/>
    <tableColumn id="6" uniqueName="6" name="Repayment Year" queryTableFieldId="6" dataDxfId="14" dataCellStyle="Comma"/>
    <tableColumn id="9" uniqueName="9" name="Total" queryTableFieldId="9" dataDxfId="13" dataCellStyle="Comma"/>
    <tableColumn id="10" uniqueName="10" name="CMAQ" queryTableFieldId="10" dataDxfId="12" dataCellStyle="Comma"/>
    <tableColumn id="11" uniqueName="11" name="CMAQ 2_5" queryTableFieldId="11" dataDxfId="11" dataCellStyle="Comma"/>
    <tableColumn id="12" uniqueName="12" name="HSIP" queryTableFieldId="12" dataDxfId="10" dataCellStyle="Comma"/>
    <tableColumn id="13" uniqueName="13" name="PL" queryTableFieldId="13" dataDxfId="9" dataCellStyle="Comma"/>
    <tableColumn id="14" uniqueName="14" name="SPR" queryTableFieldId="14" dataDxfId="8" dataCellStyle="Comma"/>
    <tableColumn id="15" uniqueName="15" name="STP other" queryTableFieldId="15" dataDxfId="7" dataCellStyle="Comma"/>
    <tableColumn id="16" uniqueName="16" name="STP over 200K" queryTableFieldId="16" dataDxfId="6" dataCellStyle="Comma"/>
    <tableColumn id="17" uniqueName="17" name="TA other" queryTableFieldId="17" dataDxfId="5" dataCellStyle="Comma"/>
    <tableColumn id="18" uniqueName="18" name="TA over 200K" queryTableFieldId="18" dataDxfId="4" dataCellStyle="Comma"/>
    <tableColumn id="43" uniqueName="43" name="From" queryTableFieldId="23" dataDxfId="3" dataCellStyle="Comma"/>
    <tableColumn id="44" uniqueName="44" name="To" queryTableFieldId="24" dataDxfId="2" dataCellStyle="Comma"/>
    <tableColumn id="45" uniqueName="45" name="project8" queryTableFieldId="25" dataDxfId="1" dataCellStyle="Comma"/>
    <tableColumn id="46" uniqueName="46" name="Notes" queryTableFieldId="26"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52"/>
  <sheetViews>
    <sheetView tabSelected="1" zoomScale="90" zoomScaleNormal="90" zoomScaleSheetLayoutView="75" workbookViewId="0">
      <selection sqref="A1:F1"/>
    </sheetView>
  </sheetViews>
  <sheetFormatPr defaultColWidth="32" defaultRowHeight="15.6" x14ac:dyDescent="0.3"/>
  <cols>
    <col min="1" max="1" width="12.77734375" style="33" customWidth="1"/>
    <col min="2" max="4" width="15.77734375" style="33" customWidth="1"/>
    <col min="5" max="5" width="40.77734375" style="33" customWidth="1"/>
    <col min="6" max="7" width="6.33203125" style="33" hidden="1" customWidth="1"/>
    <col min="8" max="8" width="6.5546875" style="33" hidden="1" customWidth="1"/>
    <col min="9" max="9" width="11.5546875" style="33" customWidth="1"/>
    <col min="10" max="12" width="15.77734375" style="34" customWidth="1"/>
    <col min="13" max="13" width="23.77734375" style="34" customWidth="1"/>
    <col min="14" max="17" width="14.77734375" style="36" customWidth="1"/>
    <col min="18" max="18" width="18.77734375" style="33" customWidth="1"/>
    <col min="19" max="19" width="3.5546875" style="33" bestFit="1" customWidth="1"/>
    <col min="20" max="16384" width="32" style="33"/>
  </cols>
  <sheetData>
    <row r="1" spans="1:19" ht="24" thickBot="1" x14ac:dyDescent="0.35">
      <c r="A1" s="178" t="s">
        <v>125</v>
      </c>
      <c r="B1" s="178"/>
      <c r="C1" s="178"/>
      <c r="D1" s="178"/>
      <c r="E1" s="178"/>
      <c r="F1" s="178"/>
      <c r="K1" s="35"/>
      <c r="M1" s="56"/>
      <c r="N1" s="184" t="s">
        <v>98</v>
      </c>
      <c r="O1" s="184"/>
      <c r="P1" s="184"/>
      <c r="Q1" s="184"/>
      <c r="R1" s="184"/>
      <c r="S1" s="184"/>
    </row>
    <row r="2" spans="1:19" ht="16.2" thickBot="1" x14ac:dyDescent="0.35">
      <c r="M2" s="56"/>
      <c r="N2" s="98"/>
      <c r="O2" s="180" t="s">
        <v>12</v>
      </c>
      <c r="P2" s="181"/>
      <c r="Q2" s="181"/>
      <c r="R2" s="182"/>
      <c r="S2" s="57"/>
    </row>
    <row r="3" spans="1:19" ht="26.4" customHeight="1" x14ac:dyDescent="0.3">
      <c r="A3" s="199" t="s">
        <v>251</v>
      </c>
      <c r="B3" s="199"/>
      <c r="C3" s="199"/>
      <c r="D3" s="38"/>
      <c r="E3" s="38"/>
      <c r="F3" s="38"/>
      <c r="G3" s="38"/>
      <c r="M3" s="100" t="s">
        <v>11</v>
      </c>
      <c r="N3" s="101" t="s">
        <v>77</v>
      </c>
      <c r="O3" s="102" t="s">
        <v>67</v>
      </c>
      <c r="P3" s="102" t="s">
        <v>6</v>
      </c>
      <c r="Q3" s="103" t="s">
        <v>10</v>
      </c>
      <c r="R3" s="39" t="s">
        <v>15</v>
      </c>
      <c r="S3" s="37"/>
    </row>
    <row r="4" spans="1:19" ht="26.4" customHeight="1" x14ac:dyDescent="0.3">
      <c r="A4" s="199"/>
      <c r="B4" s="199"/>
      <c r="C4" s="199"/>
      <c r="E4" s="40"/>
      <c r="F4" s="40"/>
      <c r="G4" s="40"/>
      <c r="M4" s="110" t="s">
        <v>237</v>
      </c>
      <c r="N4" s="143">
        <v>0</v>
      </c>
      <c r="O4" s="144">
        <v>0</v>
      </c>
      <c r="P4" s="145">
        <v>255751.07</v>
      </c>
      <c r="Q4" s="146">
        <f t="shared" ref="Q4:Q12" si="0">SUM(N4:P4)</f>
        <v>255751.07</v>
      </c>
      <c r="R4" s="143">
        <f>315941.69-118625</f>
        <v>197316.69</v>
      </c>
      <c r="S4" s="37"/>
    </row>
    <row r="5" spans="1:19" ht="26.4" x14ac:dyDescent="0.3">
      <c r="A5" s="203" t="s">
        <v>252</v>
      </c>
      <c r="B5" s="203"/>
      <c r="C5" s="203"/>
      <c r="M5" s="111" t="s">
        <v>238</v>
      </c>
      <c r="N5" s="147">
        <v>519767</v>
      </c>
      <c r="O5" s="145">
        <f>156250+125000</f>
        <v>281250</v>
      </c>
      <c r="P5" s="145">
        <v>1001206</v>
      </c>
      <c r="Q5" s="146">
        <f t="shared" si="0"/>
        <v>1802223</v>
      </c>
      <c r="R5" s="147">
        <f>Q5*0.94875273887</f>
        <v>1709864.007304508</v>
      </c>
      <c r="S5" s="41" t="s">
        <v>79</v>
      </c>
    </row>
    <row r="6" spans="1:19" x14ac:dyDescent="0.3">
      <c r="M6" s="111" t="s">
        <v>87</v>
      </c>
      <c r="N6" s="148">
        <f>SUMIFS(Table_Query_from_MS_Access_Database[[#All],[HSIP]],Table_Query_from_MS_Access_Database[[#All],[Transaction Year]],"2014",Table_Query_from_MS_Access_Database[[#All],[Transaction Type]],"loan in")</f>
        <v>193259</v>
      </c>
      <c r="O6" s="130">
        <f>SUMIFS(Table_Query_from_MS_Access_Database[[#All],[SPR]],Table_Query_from_MS_Access_Database[[#All],[Transaction Year]],"2014",Table_Query_from_MS_Access_Database[[#All],[Transaction Type]],"loan in")</f>
        <v>0</v>
      </c>
      <c r="P6" s="149">
        <f>SUMIFS(Table_Query_from_MS_Access_Database[[#All],[STP other]],Table_Query_from_MS_Access_Database[[#All],[Transaction Year]],"2014",Table_Query_from_MS_Access_Database[[#All],[Transaction Type]],"loan in")</f>
        <v>307204</v>
      </c>
      <c r="Q6" s="146">
        <f t="shared" si="0"/>
        <v>500463</v>
      </c>
      <c r="R6" s="150">
        <f>SUMIFS(Table_Query_from_MS_Access_Database_16[[#All],[Total]],Table_Query_from_MS_Access_Database_16[[#All],[Transaction Year]],"2014",Table_Query_from_MS_Access_Database_16[[#All],[Transaction Type]],"Loan In")</f>
        <v>486639</v>
      </c>
      <c r="S6" s="37"/>
    </row>
    <row r="7" spans="1:19" x14ac:dyDescent="0.3">
      <c r="A7" s="43"/>
      <c r="M7" s="111" t="s">
        <v>88</v>
      </c>
      <c r="N7" s="148">
        <f>SUMIFS(Table_Query_from_MS_Access_Database[[#All],[HSIP]],Table_Query_from_MS_Access_Database[[#All],[Transaction Year]],"2014",Table_Query_from_MS_Access_Database[[#All],[Transaction Type]],"loan Out")</f>
        <v>0</v>
      </c>
      <c r="O7" s="130">
        <f>SUMIFS(Table_Query_from_MS_Access_Database[[#All],[SPR]],Table_Query_from_MS_Access_Database[[#All],[Transaction Year]],"2014",Table_Query_from_MS_Access_Database[[#All],[Transaction Type]],"loan Out")</f>
        <v>0</v>
      </c>
      <c r="P7" s="149">
        <f>SUMIFS(Table_Query_from_MS_Access_Database[[#All],[STP other]],Table_Query_from_MS_Access_Database[[#All],[Transaction Year]],"2014",Table_Query_from_MS_Access_Database[[#All],[Transaction Type]],"loan Out")</f>
        <v>-645490</v>
      </c>
      <c r="Q7" s="146">
        <f t="shared" si="0"/>
        <v>-645490</v>
      </c>
      <c r="R7" s="150">
        <f>SUMIFS(Table_Query_from_MS_Access_Database_16[[#All],[Total]],Table_Query_from_MS_Access_Database_16[[#All],[Transaction Year]],"2014",Table_Query_from_MS_Access_Database_16[[#All],[Transaction Type]],"Loan Out")</f>
        <v>-633400</v>
      </c>
      <c r="S7" s="37"/>
    </row>
    <row r="8" spans="1:19" x14ac:dyDescent="0.3">
      <c r="M8" s="110" t="s">
        <v>89</v>
      </c>
      <c r="N8" s="148">
        <f>SUMIFS(Table_Query_from_MS_Access_Database[[#All],[HSIP]],Table_Query_from_MS_Access_Database[[#All],[Transaction Year]],"2014",Table_Query_from_MS_Access_Database[[#All],[Transaction Type]],"repayment in")</f>
        <v>0</v>
      </c>
      <c r="O8" s="130">
        <f>SUMIFS(Table_Query_from_MS_Access_Database[[#All],[SPR]],Table_Query_from_MS_Access_Database[[#All],[Transaction Year]],"2014",Table_Query_from_MS_Access_Database[[#All],[Transaction Type]],"repayment in")</f>
        <v>0</v>
      </c>
      <c r="P8" s="149">
        <f>SUMIFS(Table_Query_from_MS_Access_Database[[#All],[STP other]],Table_Query_from_MS_Access_Database[[#All],[Transaction Year]],"2014",Table_Query_from_MS_Access_Database[[#All],[Transaction Type]],"repayment in")</f>
        <v>450000</v>
      </c>
      <c r="Q8" s="146">
        <f t="shared" si="0"/>
        <v>450000</v>
      </c>
      <c r="R8" s="150">
        <f>SUMIFS(Table_Query_from_MS_Access_Database_16[[#All],[Total]],Table_Query_from_MS_Access_Database_16[[#All],[Transaction Year]],"2014",Table_Query_from_MS_Access_Database_16[[#All],[Transaction Type]],"repayment In")</f>
        <v>450000</v>
      </c>
      <c r="S8" s="37"/>
    </row>
    <row r="9" spans="1:19" x14ac:dyDescent="0.3">
      <c r="A9" s="183" t="s">
        <v>112</v>
      </c>
      <c r="B9" s="183"/>
      <c r="C9" s="183"/>
      <c r="D9" s="183"/>
      <c r="E9" s="183"/>
      <c r="F9" s="183"/>
      <c r="G9" s="183"/>
      <c r="H9" s="183"/>
      <c r="I9" s="183"/>
      <c r="J9" s="183"/>
      <c r="K9" s="183"/>
      <c r="L9" s="183"/>
      <c r="M9" s="111" t="s">
        <v>90</v>
      </c>
      <c r="N9" s="148">
        <f>SUMIFS(Table_Query_from_MS_Access_Database[[#All],[HSIP]],Table_Query_from_MS_Access_Database[[#All],[Transaction Year]],"2014",Table_Query_from_MS_Access_Database[[#All],[Transaction Type]],"repayment Out")</f>
        <v>0</v>
      </c>
      <c r="O9" s="130">
        <f>SUMIFS(Table_Query_from_MS_Access_Database[[#All],[SPR]],Table_Query_from_MS_Access_Database[[#All],[Transaction Year]],"2014",Table_Query_from_MS_Access_Database[[#All],[Transaction Type]],"repayment Out")</f>
        <v>0</v>
      </c>
      <c r="P9" s="149">
        <f>SUMIFS(Table_Query_from_MS_Access_Database[[#All],[STP other]],Table_Query_from_MS_Access_Database[[#All],[Transaction Year]],"2014",Table_Query_from_MS_Access_Database[[#All],[Transaction Type]],"repayment Out")</f>
        <v>-183932</v>
      </c>
      <c r="Q9" s="146">
        <f t="shared" si="0"/>
        <v>-183932</v>
      </c>
      <c r="R9" s="150">
        <f>SUMIFS(Table_Query_from_MS_Access_Database_16[[#All],[Total]],Table_Query_from_MS_Access_Database_16[[#All],[Transaction Year]],"2014",Table_Query_from_MS_Access_Database_16[[#All],[Transaction Type]],"Repayment Out")</f>
        <v>-174000</v>
      </c>
      <c r="S9" s="37"/>
    </row>
    <row r="10" spans="1:19" x14ac:dyDescent="0.3">
      <c r="M10" s="111" t="s">
        <v>91</v>
      </c>
      <c r="N10" s="148">
        <f>SUMIFS(Table_Query_from_MS_Access_Database[[#All],[HSIP]],Table_Query_from_MS_Access_Database[[#All],[Transaction Year]],"2014",Table_Query_from_MS_Access_Database[[#All],[Transaction Type]],"Transfer in")</f>
        <v>0</v>
      </c>
      <c r="O10" s="130">
        <f>SUMIFS(Table_Query_from_MS_Access_Database[[#All],[SPR]],Table_Query_from_MS_Access_Database[[#All],[Transaction Year]],"2014",Table_Query_from_MS_Access_Database[[#All],[Transaction Type]],"Transfer in")</f>
        <v>0</v>
      </c>
      <c r="P10" s="149">
        <f>SUMIFS(Table_Query_from_MS_Access_Database[[#All],[STP other]],Table_Query_from_MS_Access_Database[[#All],[Transaction Year]],"2014",Table_Query_from_MS_Access_Database[[#All],[Transaction Type]],"Transfer in")</f>
        <v>0</v>
      </c>
      <c r="Q10" s="146">
        <f t="shared" si="0"/>
        <v>0</v>
      </c>
      <c r="R10" s="150">
        <f>SUMIFS(Table_Query_from_MS_Access_Database_16[[#All],[Total]],Table_Query_from_MS_Access_Database_16[[#All],[Transaction Year]],"2014",Table_Query_from_MS_Access_Database_16[[#All],[Transaction Type]],"Transfer In")</f>
        <v>0</v>
      </c>
    </row>
    <row r="11" spans="1:19" x14ac:dyDescent="0.3">
      <c r="F11" s="44"/>
      <c r="G11" s="44"/>
      <c r="M11" s="111" t="s">
        <v>92</v>
      </c>
      <c r="N11" s="148">
        <f>SUMIFS(Table_Query_from_MS_Access_Database[[#All],[HSIP]],Table_Query_from_MS_Access_Database[[#All],[Transaction Year]],"2014",Table_Query_from_MS_Access_Database[[#All],[Transaction Type]],"Transfer Out")</f>
        <v>-915</v>
      </c>
      <c r="O11" s="130">
        <f>SUMIFS(Table_Query_from_MS_Access_Database[[#All],[SPR]],Table_Query_from_MS_Access_Database[[#All],[Transaction Year]],"2014",Table_Query_from_MS_Access_Database[[#All],[Transaction Type]],"Transfer Out")</f>
        <v>0</v>
      </c>
      <c r="P11" s="149">
        <f>SUMIFS(Table_Query_from_MS_Access_Database[[#All],[STP other]],Table_Query_from_MS_Access_Database[[#All],[Transaction Year]],"2014",Table_Query_from_MS_Access_Database[[#All],[Transaction Type]],"Transfer Out")</f>
        <v>0</v>
      </c>
      <c r="Q11" s="146">
        <f t="shared" si="0"/>
        <v>-915</v>
      </c>
      <c r="R11" s="150">
        <f>SUMIFS(Table_Query_from_MS_Access_Database_16[[#All],[Total]],Table_Query_from_MS_Access_Database_16[[#All],[Transaction Year]],"2014",Table_Query_from_MS_Access_Database_16[[#All],[Transaction Type]],"Transfer Out")</f>
        <v>0</v>
      </c>
      <c r="S11" s="42"/>
    </row>
    <row r="12" spans="1:19" ht="26.4" x14ac:dyDescent="0.3">
      <c r="M12" s="112" t="s">
        <v>113</v>
      </c>
      <c r="N12" s="151">
        <f>SUM(N4:N11)</f>
        <v>712111</v>
      </c>
      <c r="O12" s="152">
        <f>SUM(O4:O11)</f>
        <v>281250</v>
      </c>
      <c r="P12" s="153">
        <f>SUM(P4:P11)</f>
        <v>1184739.07</v>
      </c>
      <c r="Q12" s="154">
        <f t="shared" si="0"/>
        <v>2178100.0700000003</v>
      </c>
      <c r="R12" s="155">
        <f>SUM(R4:R11)</f>
        <v>2036419.6973045077</v>
      </c>
      <c r="S12" s="42"/>
    </row>
    <row r="13" spans="1:19" x14ac:dyDescent="0.3">
      <c r="N13" s="45"/>
      <c r="O13" s="46"/>
      <c r="P13" s="46"/>
      <c r="Q13" s="46"/>
      <c r="R13" s="46"/>
      <c r="S13" s="46"/>
    </row>
    <row r="14" spans="1:19" ht="16.8" x14ac:dyDescent="0.3">
      <c r="A14" s="179" t="s">
        <v>78</v>
      </c>
      <c r="B14" s="179"/>
      <c r="C14" s="179"/>
      <c r="D14" s="179"/>
      <c r="J14" s="185" t="s">
        <v>80</v>
      </c>
      <c r="K14" s="186"/>
      <c r="L14" s="186"/>
      <c r="M14" s="187"/>
      <c r="N14" s="47"/>
      <c r="R14" s="48"/>
      <c r="S14" s="48"/>
    </row>
    <row r="15" spans="1:19" s="88" customFormat="1" ht="26.4" x14ac:dyDescent="0.3">
      <c r="A15" s="85" t="s">
        <v>1</v>
      </c>
      <c r="B15" s="86" t="s">
        <v>0</v>
      </c>
      <c r="C15" s="86" t="s">
        <v>3</v>
      </c>
      <c r="D15" s="86" t="s">
        <v>103</v>
      </c>
      <c r="E15" s="86" t="s">
        <v>2</v>
      </c>
      <c r="F15" s="86" t="s">
        <v>55</v>
      </c>
      <c r="G15" s="86" t="s">
        <v>56</v>
      </c>
      <c r="H15" s="86" t="s">
        <v>57</v>
      </c>
      <c r="I15" s="86" t="s">
        <v>64</v>
      </c>
      <c r="J15" s="87" t="s">
        <v>58</v>
      </c>
      <c r="K15" s="87" t="s">
        <v>59</v>
      </c>
      <c r="L15" s="87" t="s">
        <v>60</v>
      </c>
      <c r="M15" s="87" t="s">
        <v>61</v>
      </c>
      <c r="N15" s="86" t="s">
        <v>4</v>
      </c>
      <c r="O15" s="86" t="s">
        <v>5</v>
      </c>
      <c r="P15" s="86" t="s">
        <v>63</v>
      </c>
      <c r="Q15" s="86" t="s">
        <v>104</v>
      </c>
      <c r="R15" s="83" t="s">
        <v>105</v>
      </c>
      <c r="S15" s="51"/>
    </row>
    <row r="16" spans="1:19" s="118" customFormat="1" ht="13.2" x14ac:dyDescent="0.3">
      <c r="A16" s="84" t="s">
        <v>139</v>
      </c>
      <c r="B16" s="52" t="s">
        <v>227</v>
      </c>
      <c r="C16" s="52" t="s">
        <v>124</v>
      </c>
      <c r="D16" s="52" t="s">
        <v>8</v>
      </c>
      <c r="E16" s="52" t="s">
        <v>140</v>
      </c>
      <c r="F16" s="52" t="s">
        <v>141</v>
      </c>
      <c r="G16" s="53" t="s">
        <v>142</v>
      </c>
      <c r="H16" s="53" t="s">
        <v>143</v>
      </c>
      <c r="I16" s="53" t="str">
        <f>CONCATENATE(Table_Query_from_MS_Access_Database_1[[#This Row],[RTE]],Table_Query_from_MS_Access_Database_1[[#This Row],[SEC]],Table_Query_from_MS_Access_Database_1[[#This Row],[SEQ]])</f>
        <v>000H184</v>
      </c>
      <c r="J16" s="54"/>
      <c r="K16" s="54">
        <v>41562</v>
      </c>
      <c r="L16" s="54">
        <v>41583</v>
      </c>
      <c r="M16" s="54">
        <v>41586</v>
      </c>
      <c r="N16" s="133"/>
      <c r="O16" s="133">
        <v>100000</v>
      </c>
      <c r="P16" s="133"/>
      <c r="Q16" s="133">
        <f>+Table_Query_from_MS_Access_Database_1[[#This Row],[HSIP]]+Table_Query_from_MS_Access_Database_1[[#This Row],[SPR]]+Table_Query_from_MS_Access_Database_1[[#This Row],[STP OTHER]]</f>
        <v>100000</v>
      </c>
      <c r="R16" s="134">
        <f>R12-Table_Query_from_MS_Access_Database_1[TOTAL OF  AMOUNT]</f>
        <v>1936419.6973045077</v>
      </c>
      <c r="S16" s="117"/>
    </row>
    <row r="17" spans="1:19" s="58" customFormat="1" ht="13.2" x14ac:dyDescent="0.3">
      <c r="A17" s="84" t="s">
        <v>139</v>
      </c>
      <c r="B17" s="52" t="s">
        <v>227</v>
      </c>
      <c r="C17" s="52" t="s">
        <v>124</v>
      </c>
      <c r="D17" s="52" t="s">
        <v>8</v>
      </c>
      <c r="E17" s="52" t="s">
        <v>140</v>
      </c>
      <c r="F17" s="52" t="s">
        <v>141</v>
      </c>
      <c r="G17" s="53" t="s">
        <v>142</v>
      </c>
      <c r="H17" s="53" t="s">
        <v>143</v>
      </c>
      <c r="I17" s="53" t="str">
        <f>CONCATENATE(Table_Query_from_MS_Access_Database_1[[#This Row],[RTE]],Table_Query_from_MS_Access_Database_1[[#This Row],[SEC]],Table_Query_from_MS_Access_Database_1[[#This Row],[SEQ]])</f>
        <v>000H184</v>
      </c>
      <c r="J17" s="54"/>
      <c r="K17" s="54">
        <v>41793</v>
      </c>
      <c r="L17" s="54">
        <v>41799</v>
      </c>
      <c r="M17" s="54">
        <v>41808</v>
      </c>
      <c r="N17" s="133"/>
      <c r="O17" s="133">
        <v>104560</v>
      </c>
      <c r="P17" s="133"/>
      <c r="Q17" s="133">
        <f>+Table_Query_from_MS_Access_Database_1[[#This Row],[HSIP]]+Table_Query_from_MS_Access_Database_1[[#This Row],[SPR]]+Table_Query_from_MS_Access_Database_1[[#This Row],[STP OTHER]]</f>
        <v>104560</v>
      </c>
      <c r="R17" s="134">
        <f>R16-Table_Query_from_MS_Access_Database_1[TOTAL OF  AMOUNT]</f>
        <v>1831859.6973045077</v>
      </c>
      <c r="S17" s="119"/>
    </row>
    <row r="18" spans="1:19" s="58" customFormat="1" ht="13.2" x14ac:dyDescent="0.3">
      <c r="A18" s="120" t="s">
        <v>139</v>
      </c>
      <c r="B18" s="121" t="s">
        <v>227</v>
      </c>
      <c r="C18" s="121" t="s">
        <v>124</v>
      </c>
      <c r="D18" s="121" t="s">
        <v>8</v>
      </c>
      <c r="E18" s="121" t="s">
        <v>140</v>
      </c>
      <c r="F18" s="121" t="s">
        <v>141</v>
      </c>
      <c r="G18" s="122" t="s">
        <v>142</v>
      </c>
      <c r="H18" s="122" t="s">
        <v>143</v>
      </c>
      <c r="I18" s="122" t="str">
        <f>CONCATENATE(Table_Query_from_MS_Access_Database_1[[#This Row],[RTE]],Table_Query_from_MS_Access_Database_1[[#This Row],[SEC]],Table_Query_from_MS_Access_Database_1[[#This Row],[SEQ]])</f>
        <v>000H184</v>
      </c>
      <c r="J18" s="123"/>
      <c r="K18" s="123">
        <v>41887</v>
      </c>
      <c r="L18" s="123">
        <v>41891</v>
      </c>
      <c r="M18" s="123">
        <v>41892</v>
      </c>
      <c r="N18" s="135"/>
      <c r="O18" s="135">
        <v>-119013</v>
      </c>
      <c r="P18" s="135"/>
      <c r="Q18" s="135">
        <f>+Table_Query_from_MS_Access_Database_1[[#This Row],[HSIP]]+Table_Query_from_MS_Access_Database_1[[#This Row],[SPR]]+Table_Query_from_MS_Access_Database_1[[#This Row],[STP OTHER]]</f>
        <v>-119013</v>
      </c>
      <c r="R18" s="134">
        <f>R17-Table_Query_from_MS_Access_Database_1[TOTAL OF  AMOUNT]</f>
        <v>1950872.6973045077</v>
      </c>
      <c r="S18" s="119"/>
    </row>
    <row r="19" spans="1:19" s="58" customFormat="1" ht="13.2" x14ac:dyDescent="0.3">
      <c r="A19" s="84" t="s">
        <v>248</v>
      </c>
      <c r="B19" s="52" t="s">
        <v>227</v>
      </c>
      <c r="C19" s="52" t="s">
        <v>124</v>
      </c>
      <c r="D19" s="52" t="s">
        <v>7</v>
      </c>
      <c r="E19" s="52" t="s">
        <v>249</v>
      </c>
      <c r="F19" s="52" t="s">
        <v>141</v>
      </c>
      <c r="G19" s="53" t="s">
        <v>142</v>
      </c>
      <c r="H19" s="53" t="s">
        <v>250</v>
      </c>
      <c r="I19" s="53" t="str">
        <f>CONCATENATE(Table_Query_from_MS_Access_Database_1[[#This Row],[RTE]],Table_Query_from_MS_Access_Database_1[[#This Row],[SEC]],Table_Query_from_MS_Access_Database_1[[#This Row],[SEQ]])</f>
        <v>000H186</v>
      </c>
      <c r="J19" s="54"/>
      <c r="K19" s="54">
        <v>41862</v>
      </c>
      <c r="L19" s="54">
        <v>41874</v>
      </c>
      <c r="M19" s="54">
        <v>41887</v>
      </c>
      <c r="N19" s="133"/>
      <c r="O19" s="133">
        <v>31250</v>
      </c>
      <c r="P19" s="133"/>
      <c r="Q19" s="133">
        <f>+Table_Query_from_MS_Access_Database_1[[#This Row],[HSIP]]+Table_Query_from_MS_Access_Database_1[[#This Row],[SPR]]+Table_Query_from_MS_Access_Database_1[[#This Row],[STP OTHER]]</f>
        <v>31250</v>
      </c>
      <c r="R19" s="134">
        <f>R18-Table_Query_from_MS_Access_Database_1[TOTAL OF  AMOUNT]</f>
        <v>1919622.6973045077</v>
      </c>
      <c r="S19" s="79"/>
    </row>
    <row r="20" spans="1:19" s="58" customFormat="1" ht="13.2" x14ac:dyDescent="0.3">
      <c r="A20" s="120" t="s">
        <v>248</v>
      </c>
      <c r="B20" s="121" t="s">
        <v>227</v>
      </c>
      <c r="C20" s="121" t="s">
        <v>124</v>
      </c>
      <c r="D20" s="121" t="s">
        <v>7</v>
      </c>
      <c r="E20" s="121" t="s">
        <v>249</v>
      </c>
      <c r="F20" s="121" t="s">
        <v>141</v>
      </c>
      <c r="G20" s="122" t="s">
        <v>142</v>
      </c>
      <c r="H20" s="122" t="s">
        <v>250</v>
      </c>
      <c r="I20" s="122" t="str">
        <f>CONCATENATE(Table_Query_from_MS_Access_Database_1[[#This Row],[RTE]],Table_Query_from_MS_Access_Database_1[[#This Row],[SEC]],Table_Query_from_MS_Access_Database_1[[#This Row],[SEQ]])</f>
        <v>000H186</v>
      </c>
      <c r="J20" s="123"/>
      <c r="K20" s="123">
        <v>41887</v>
      </c>
      <c r="L20" s="123">
        <v>41891</v>
      </c>
      <c r="M20" s="123">
        <v>41892</v>
      </c>
      <c r="N20" s="135"/>
      <c r="O20" s="135">
        <v>119013</v>
      </c>
      <c r="P20" s="135"/>
      <c r="Q20" s="135">
        <f>+Table_Query_from_MS_Access_Database_1[[#This Row],[HSIP]]+Table_Query_from_MS_Access_Database_1[[#This Row],[SPR]]+Table_Query_from_MS_Access_Database_1[[#This Row],[STP OTHER]]</f>
        <v>119013</v>
      </c>
      <c r="R20" s="134">
        <f>R19-Table_Query_from_MS_Access_Database_1[TOTAL OF  AMOUNT]</f>
        <v>1800609.6973045077</v>
      </c>
    </row>
    <row r="21" spans="1:19" s="58" customFormat="1" ht="13.2" x14ac:dyDescent="0.3">
      <c r="A21" s="84" t="s">
        <v>223</v>
      </c>
      <c r="B21" s="52" t="s">
        <v>236</v>
      </c>
      <c r="C21" s="52" t="s">
        <v>124</v>
      </c>
      <c r="D21" s="52" t="s">
        <v>7</v>
      </c>
      <c r="E21" s="52" t="s">
        <v>224</v>
      </c>
      <c r="F21" s="52" t="s">
        <v>225</v>
      </c>
      <c r="G21" s="53" t="s">
        <v>196</v>
      </c>
      <c r="H21" s="53" t="s">
        <v>226</v>
      </c>
      <c r="I21" s="53" t="str">
        <f>CONCATENATE(Table_Query_from_MS_Access_Database_1[[#This Row],[RTE]],Table_Query_from_MS_Access_Database_1[[#This Row],[SEC]],Table_Query_from_MS_Access_Database_1[[#This Row],[SEQ]])</f>
        <v>999A440</v>
      </c>
      <c r="J21" s="54"/>
      <c r="K21" s="54">
        <v>41771</v>
      </c>
      <c r="L21" s="54">
        <v>41807</v>
      </c>
      <c r="M21" s="54">
        <v>41807</v>
      </c>
      <c r="N21" s="133"/>
      <c r="O21" s="133"/>
      <c r="P21" s="133">
        <v>75000</v>
      </c>
      <c r="Q21" s="133">
        <f>+Table_Query_from_MS_Access_Database_1[[#This Row],[HSIP]]+Table_Query_from_MS_Access_Database_1[[#This Row],[SPR]]+Table_Query_from_MS_Access_Database_1[[#This Row],[STP OTHER]]</f>
        <v>75000</v>
      </c>
      <c r="R21" s="134">
        <f>R20-Table_Query_from_MS_Access_Database_1[TOTAL OF  AMOUNT]</f>
        <v>1725609.6973045077</v>
      </c>
    </row>
    <row r="22" spans="1:19" s="58" customFormat="1" ht="26.4" x14ac:dyDescent="0.3">
      <c r="A22" s="84" t="s">
        <v>193</v>
      </c>
      <c r="B22" s="52" t="s">
        <v>216</v>
      </c>
      <c r="C22" s="52" t="s">
        <v>119</v>
      </c>
      <c r="D22" s="52" t="s">
        <v>7</v>
      </c>
      <c r="E22" s="52" t="s">
        <v>194</v>
      </c>
      <c r="F22" s="52" t="s">
        <v>195</v>
      </c>
      <c r="G22" s="53" t="s">
        <v>196</v>
      </c>
      <c r="H22" s="53" t="s">
        <v>197</v>
      </c>
      <c r="I22" s="53" t="str">
        <f>CONCATENATE(Table_Query_from_MS_Access_Database_1[[#This Row],[RTE]],Table_Query_from_MS_Access_Database_1[[#This Row],[SEC]],Table_Query_from_MS_Access_Database_1[[#This Row],[SEQ]])</f>
        <v>094A420</v>
      </c>
      <c r="J22" s="54"/>
      <c r="K22" s="54">
        <v>41654</v>
      </c>
      <c r="L22" s="54">
        <v>41759</v>
      </c>
      <c r="M22" s="54">
        <v>41772</v>
      </c>
      <c r="N22" s="133"/>
      <c r="O22" s="133"/>
      <c r="P22" s="133">
        <v>10000</v>
      </c>
      <c r="Q22" s="133">
        <f>+Table_Query_from_MS_Access_Database_1[[#This Row],[HSIP]]+Table_Query_from_MS_Access_Database_1[[#This Row],[SPR]]+Table_Query_from_MS_Access_Database_1[[#This Row],[STP OTHER]]</f>
        <v>10000</v>
      </c>
      <c r="R22" s="134">
        <f>R21-Table_Query_from_MS_Access_Database_1[TOTAL OF  AMOUNT]</f>
        <v>1715609.6973045077</v>
      </c>
    </row>
    <row r="23" spans="1:19" s="59" customFormat="1" ht="26.4" x14ac:dyDescent="0.3">
      <c r="A23" s="120" t="s">
        <v>183</v>
      </c>
      <c r="B23" s="121" t="s">
        <v>184</v>
      </c>
      <c r="C23" s="121" t="s">
        <v>168</v>
      </c>
      <c r="D23" s="121" t="s">
        <v>9</v>
      </c>
      <c r="E23" s="121" t="s">
        <v>185</v>
      </c>
      <c r="F23" s="121" t="s">
        <v>169</v>
      </c>
      <c r="G23" s="122" t="s">
        <v>62</v>
      </c>
      <c r="H23" s="122" t="s">
        <v>186</v>
      </c>
      <c r="I23" s="122" t="str">
        <f>CONCATENATE(Table_Query_from_MS_Access_Database_1[[#This Row],[RTE]],Table_Query_from_MS_Access_Database_1[[#This Row],[SEC]],Table_Query_from_MS_Access_Database_1[[#This Row],[SEQ]])</f>
        <v>SVS0209</v>
      </c>
      <c r="J23" s="123"/>
      <c r="K23" s="123">
        <v>41603</v>
      </c>
      <c r="L23" s="123">
        <v>41603</v>
      </c>
      <c r="M23" s="123">
        <v>41603</v>
      </c>
      <c r="N23" s="135">
        <v>-38396.269999999997</v>
      </c>
      <c r="O23" s="135"/>
      <c r="P23" s="135"/>
      <c r="Q23" s="135">
        <f>+Table_Query_from_MS_Access_Database_1[[#This Row],[HSIP]]+Table_Query_from_MS_Access_Database_1[[#This Row],[SPR]]+Table_Query_from_MS_Access_Database_1[[#This Row],[STP OTHER]]</f>
        <v>-38396.269999999997</v>
      </c>
      <c r="R23" s="134">
        <f>R22-Table_Query_from_MS_Access_Database_1[TOTAL OF  AMOUNT]</f>
        <v>1754005.9673045077</v>
      </c>
      <c r="S23" s="124"/>
    </row>
    <row r="24" spans="1:19" s="58" customFormat="1" ht="13.2" x14ac:dyDescent="0.3">
      <c r="A24" s="84" t="s">
        <v>177</v>
      </c>
      <c r="B24" s="52" t="s">
        <v>178</v>
      </c>
      <c r="C24" s="52" t="s">
        <v>179</v>
      </c>
      <c r="D24" s="52" t="s">
        <v>9</v>
      </c>
      <c r="E24" s="52" t="s">
        <v>180</v>
      </c>
      <c r="F24" s="52" t="s">
        <v>181</v>
      </c>
      <c r="G24" s="53" t="s">
        <v>62</v>
      </c>
      <c r="H24" s="53" t="s">
        <v>182</v>
      </c>
      <c r="I24" s="53" t="str">
        <f>CONCATENATE(Table_Query_from_MS_Access_Database_1[[#This Row],[RTE]],Table_Query_from_MS_Access_Database_1[[#This Row],[SEC]],Table_Query_from_MS_Access_Database_1[[#This Row],[SEQ]])</f>
        <v>WLX0202</v>
      </c>
      <c r="J24" s="54"/>
      <c r="K24" s="54">
        <v>41647</v>
      </c>
      <c r="L24" s="54">
        <v>41647</v>
      </c>
      <c r="M24" s="54">
        <v>41711</v>
      </c>
      <c r="N24" s="133">
        <v>-34732.61</v>
      </c>
      <c r="O24" s="133"/>
      <c r="P24" s="133"/>
      <c r="Q24" s="133">
        <f>+Table_Query_from_MS_Access_Database_1[[#This Row],[HSIP]]+Table_Query_from_MS_Access_Database_1[[#This Row],[SPR]]+Table_Query_from_MS_Access_Database_1[[#This Row],[STP OTHER]]</f>
        <v>-34732.61</v>
      </c>
      <c r="R24" s="134">
        <f>R23-Table_Query_from_MS_Access_Database_1[TOTAL OF  AMOUNT]</f>
        <v>1788738.5773045078</v>
      </c>
      <c r="S24" s="79"/>
    </row>
    <row r="25" spans="1:19" s="58" customFormat="1" ht="13.2" x14ac:dyDescent="0.3">
      <c r="A25" s="84" t="s">
        <v>150</v>
      </c>
      <c r="B25" s="52" t="s">
        <v>145</v>
      </c>
      <c r="C25" s="52" t="s">
        <v>146</v>
      </c>
      <c r="D25" s="52" t="s">
        <v>7</v>
      </c>
      <c r="E25" s="52" t="s">
        <v>211</v>
      </c>
      <c r="F25" s="52" t="s">
        <v>148</v>
      </c>
      <c r="G25" s="53" t="s">
        <v>62</v>
      </c>
      <c r="H25" s="53" t="s">
        <v>149</v>
      </c>
      <c r="I25" s="53" t="str">
        <f>CONCATENATE(Table_Query_from_MS_Access_Database_1[[#This Row],[RTE]],Table_Query_from_MS_Access_Database_1[[#This Row],[SEC]],Table_Query_from_MS_Access_Database_1[[#This Row],[SEQ]])</f>
        <v>SAF0205</v>
      </c>
      <c r="J25" s="54">
        <v>41786</v>
      </c>
      <c r="K25" s="54">
        <v>41787</v>
      </c>
      <c r="L25" s="54">
        <v>41788</v>
      </c>
      <c r="M25" s="54">
        <v>41806</v>
      </c>
      <c r="N25" s="133">
        <v>572060</v>
      </c>
      <c r="O25" s="133"/>
      <c r="P25" s="133"/>
      <c r="Q25" s="133">
        <f>+Table_Query_from_MS_Access_Database_1[[#This Row],[HSIP]]+Table_Query_from_MS_Access_Database_1[[#This Row],[SPR]]+Table_Query_from_MS_Access_Database_1[[#This Row],[STP OTHER]]</f>
        <v>572060</v>
      </c>
      <c r="R25" s="134">
        <f>R24-Table_Query_from_MS_Access_Database_1[TOTAL OF  AMOUNT]</f>
        <v>1216678.5773045078</v>
      </c>
      <c r="S25" s="79"/>
    </row>
    <row r="26" spans="1:19" s="55" customFormat="1" x14ac:dyDescent="0.3">
      <c r="A26" s="84" t="s">
        <v>144</v>
      </c>
      <c r="B26" s="52" t="s">
        <v>145</v>
      </c>
      <c r="C26" s="52" t="s">
        <v>146</v>
      </c>
      <c r="D26" s="52" t="s">
        <v>8</v>
      </c>
      <c r="E26" s="52" t="s">
        <v>147</v>
      </c>
      <c r="F26" s="52" t="s">
        <v>148</v>
      </c>
      <c r="G26" s="53" t="s">
        <v>62</v>
      </c>
      <c r="H26" s="53" t="s">
        <v>149</v>
      </c>
      <c r="I26" s="53" t="str">
        <f>CONCATENATE(Table_Query_from_MS_Access_Database_1[[#This Row],[RTE]],Table_Query_from_MS_Access_Database_1[[#This Row],[SEC]],Table_Query_from_MS_Access_Database_1[[#This Row],[SEQ]])</f>
        <v>SAF0205</v>
      </c>
      <c r="J26" s="54"/>
      <c r="K26" s="54">
        <v>41575</v>
      </c>
      <c r="L26" s="54">
        <v>41600</v>
      </c>
      <c r="M26" s="54">
        <v>41604</v>
      </c>
      <c r="N26" s="133">
        <v>25000</v>
      </c>
      <c r="O26" s="133"/>
      <c r="P26" s="133"/>
      <c r="Q26" s="133">
        <f>+Table_Query_from_MS_Access_Database_1[[#This Row],[HSIP]]+Table_Query_from_MS_Access_Database_1[[#This Row],[SPR]]+Table_Query_from_MS_Access_Database_1[[#This Row],[STP OTHER]]</f>
        <v>25000</v>
      </c>
      <c r="R26" s="134">
        <f>R25-Table_Query_from_MS_Access_Database_1[TOTAL OF  AMOUNT]</f>
        <v>1191678.5773045078</v>
      </c>
      <c r="S26" s="66"/>
    </row>
    <row r="27" spans="1:19" s="55" customFormat="1" ht="26.4" x14ac:dyDescent="0.3">
      <c r="A27" s="84" t="s">
        <v>243</v>
      </c>
      <c r="B27" s="52" t="s">
        <v>232</v>
      </c>
      <c r="C27" s="52" t="s">
        <v>233</v>
      </c>
      <c r="D27" s="52" t="s">
        <v>8</v>
      </c>
      <c r="E27" s="52" t="s">
        <v>234</v>
      </c>
      <c r="F27" s="52" t="s">
        <v>235</v>
      </c>
      <c r="G27" s="53" t="s">
        <v>62</v>
      </c>
      <c r="H27" s="53" t="s">
        <v>149</v>
      </c>
      <c r="I27" s="53" t="str">
        <f>CONCATENATE(Table_Query_from_MS_Access_Database_1[[#This Row],[RTE]],Table_Query_from_MS_Access_Database_1[[#This Row],[SEC]],Table_Query_from_MS_Access_Database_1[[#This Row],[SEQ]])</f>
        <v>GGH0205</v>
      </c>
      <c r="J27" s="54">
        <v>41866</v>
      </c>
      <c r="K27" s="54">
        <v>41844</v>
      </c>
      <c r="L27" s="54">
        <v>41856</v>
      </c>
      <c r="M27" s="54">
        <v>41863</v>
      </c>
      <c r="N27" s="133">
        <v>34380</v>
      </c>
      <c r="O27" s="133"/>
      <c r="P27" s="133"/>
      <c r="Q27" s="133">
        <f>+Table_Query_from_MS_Access_Database_1[[#This Row],[HSIP]]+Table_Query_from_MS_Access_Database_1[[#This Row],[SPR]]+Table_Query_from_MS_Access_Database_1[[#This Row],[STP OTHER]]</f>
        <v>34380</v>
      </c>
      <c r="R27" s="134">
        <f>R26-Table_Query_from_MS_Access_Database_1[TOTAL OF  AMOUNT]</f>
        <v>1157298.5773045078</v>
      </c>
    </row>
    <row r="28" spans="1:19" s="55" customFormat="1" ht="26.4" x14ac:dyDescent="0.3">
      <c r="A28" s="84" t="s">
        <v>231</v>
      </c>
      <c r="B28" s="52" t="s">
        <v>232</v>
      </c>
      <c r="C28" s="52" t="s">
        <v>233</v>
      </c>
      <c r="D28" s="52" t="s">
        <v>8</v>
      </c>
      <c r="E28" s="52" t="s">
        <v>234</v>
      </c>
      <c r="F28" s="52" t="s">
        <v>235</v>
      </c>
      <c r="G28" s="53" t="s">
        <v>62</v>
      </c>
      <c r="H28" s="53" t="s">
        <v>149</v>
      </c>
      <c r="I28" s="53" t="str">
        <f>CONCATENATE(Table_Query_from_MS_Access_Database_1[[#This Row],[RTE]],Table_Query_from_MS_Access_Database_1[[#This Row],[SEC]],Table_Query_from_MS_Access_Database_1[[#This Row],[SEQ]])</f>
        <v>GGH0205</v>
      </c>
      <c r="J28" s="54">
        <v>41866</v>
      </c>
      <c r="K28" s="54">
        <v>41844</v>
      </c>
      <c r="L28" s="54">
        <v>41856</v>
      </c>
      <c r="M28" s="54">
        <v>41863</v>
      </c>
      <c r="N28" s="133">
        <v>19620</v>
      </c>
      <c r="O28" s="133"/>
      <c r="P28" s="133"/>
      <c r="Q28" s="133">
        <f>+Table_Query_from_MS_Access_Database_1[[#This Row],[HSIP]]+Table_Query_from_MS_Access_Database_1[[#This Row],[SPR]]+Table_Query_from_MS_Access_Database_1[[#This Row],[STP OTHER]]</f>
        <v>19620</v>
      </c>
      <c r="R28" s="134">
        <f>R27-Table_Query_from_MS_Access_Database_1[TOTAL OF  AMOUNT]</f>
        <v>1137678.5773045078</v>
      </c>
    </row>
    <row r="29" spans="1:19" s="58" customFormat="1" ht="13.2" x14ac:dyDescent="0.3">
      <c r="A29" s="120" t="s">
        <v>151</v>
      </c>
      <c r="B29" s="121" t="s">
        <v>152</v>
      </c>
      <c r="C29" s="121" t="s">
        <v>146</v>
      </c>
      <c r="D29" s="121" t="s">
        <v>7</v>
      </c>
      <c r="E29" s="121" t="s">
        <v>228</v>
      </c>
      <c r="F29" s="121" t="s">
        <v>148</v>
      </c>
      <c r="G29" s="122" t="s">
        <v>62</v>
      </c>
      <c r="H29" s="122" t="s">
        <v>153</v>
      </c>
      <c r="I29" s="122" t="str">
        <f>CONCATENATE(Table_Query_from_MS_Access_Database_1[[#This Row],[RTE]],Table_Query_from_MS_Access_Database_1[[#This Row],[SEC]],Table_Query_from_MS_Access_Database_1[[#This Row],[SEQ]])</f>
        <v>SAF0208</v>
      </c>
      <c r="J29" s="123">
        <v>41791</v>
      </c>
      <c r="K29" s="123">
        <v>41761</v>
      </c>
      <c r="L29" s="123">
        <v>41779</v>
      </c>
      <c r="M29" s="123">
        <v>41786</v>
      </c>
      <c r="N29" s="135">
        <v>10000</v>
      </c>
      <c r="O29" s="135"/>
      <c r="P29" s="135"/>
      <c r="Q29" s="135">
        <f>+Table_Query_from_MS_Access_Database_1[[#This Row],[HSIP]]+Table_Query_from_MS_Access_Database_1[[#This Row],[SPR]]+Table_Query_from_MS_Access_Database_1[[#This Row],[STP OTHER]]</f>
        <v>10000</v>
      </c>
      <c r="R29" s="134">
        <f>R28-Table_Query_from_MS_Access_Database_1[TOTAL OF  AMOUNT]</f>
        <v>1127678.5773045078</v>
      </c>
    </row>
    <row r="30" spans="1:19" s="58" customFormat="1" ht="26.4" x14ac:dyDescent="0.3">
      <c r="A30" s="156" t="s">
        <v>163</v>
      </c>
      <c r="B30" s="157" t="s">
        <v>192</v>
      </c>
      <c r="C30" s="157" t="s">
        <v>164</v>
      </c>
      <c r="D30" s="157" t="s">
        <v>7</v>
      </c>
      <c r="E30" s="157" t="s">
        <v>165</v>
      </c>
      <c r="F30" s="157" t="s">
        <v>166</v>
      </c>
      <c r="G30" s="158" t="s">
        <v>62</v>
      </c>
      <c r="H30" s="158" t="s">
        <v>167</v>
      </c>
      <c r="I30" s="158" t="str">
        <f>CONCATENATE(Table_Query_from_MS_Access_Database_1[[#This Row],[RTE]],Table_Query_from_MS_Access_Database_1[[#This Row],[SEC]],Table_Query_from_MS_Access_Database_1[[#This Row],[SEQ]])</f>
        <v>N0G0207</v>
      </c>
      <c r="J30" s="159">
        <v>41791</v>
      </c>
      <c r="K30" s="159">
        <v>41772</v>
      </c>
      <c r="L30" s="159">
        <v>41791</v>
      </c>
      <c r="M30" s="159">
        <v>41808</v>
      </c>
      <c r="N30" s="160">
        <v>15000</v>
      </c>
      <c r="O30" s="160"/>
      <c r="P30" s="160"/>
      <c r="Q30" s="160">
        <f>+Table_Query_from_MS_Access_Database_1[[#This Row],[HSIP]]+Table_Query_from_MS_Access_Database_1[[#This Row],[SPR]]+Table_Query_from_MS_Access_Database_1[[#This Row],[STP OTHER]]</f>
        <v>15000</v>
      </c>
      <c r="R30" s="134">
        <f>R29-Table_Query_from_MS_Access_Database_1[TOTAL OF  AMOUNT]</f>
        <v>1112678.5773045078</v>
      </c>
    </row>
    <row r="31" spans="1:19" s="58" customFormat="1" ht="26.4" x14ac:dyDescent="0.3">
      <c r="A31" s="120" t="s">
        <v>170</v>
      </c>
      <c r="B31" s="121" t="s">
        <v>171</v>
      </c>
      <c r="C31" s="121" t="s">
        <v>172</v>
      </c>
      <c r="D31" s="121" t="s">
        <v>7</v>
      </c>
      <c r="E31" s="121" t="s">
        <v>173</v>
      </c>
      <c r="F31" s="121" t="s">
        <v>174</v>
      </c>
      <c r="G31" s="122" t="s">
        <v>62</v>
      </c>
      <c r="H31" s="122" t="s">
        <v>175</v>
      </c>
      <c r="I31" s="122" t="str">
        <f>CONCATENATE(Table_Query_from_MS_Access_Database_1[[#This Row],[RTE]],Table_Query_from_MS_Access_Database_1[[#This Row],[SEC]],Table_Query_from_MS_Access_Database_1[[#This Row],[SEQ]])</f>
        <v>CLF0200</v>
      </c>
      <c r="J31" s="123">
        <v>41805</v>
      </c>
      <c r="K31" s="123">
        <v>41765</v>
      </c>
      <c r="L31" s="123">
        <v>41780</v>
      </c>
      <c r="M31" s="123">
        <v>41786</v>
      </c>
      <c r="N31" s="135">
        <v>10000</v>
      </c>
      <c r="O31" s="135"/>
      <c r="P31" s="135"/>
      <c r="Q31" s="135">
        <f>+Table_Query_from_MS_Access_Database_1[[#This Row],[HSIP]]+Table_Query_from_MS_Access_Database_1[[#This Row],[SPR]]+Table_Query_from_MS_Access_Database_1[[#This Row],[STP OTHER]]</f>
        <v>10000</v>
      </c>
      <c r="R31" s="134">
        <f>R30-Table_Query_from_MS_Access_Database_1[TOTAL OF  AMOUNT]</f>
        <v>1102678.5773045078</v>
      </c>
    </row>
    <row r="32" spans="1:19" s="58" customFormat="1" ht="13.2" x14ac:dyDescent="0.3">
      <c r="A32" s="161" t="s">
        <v>202</v>
      </c>
      <c r="B32" s="162" t="s">
        <v>203</v>
      </c>
      <c r="C32" s="162" t="s">
        <v>146</v>
      </c>
      <c r="D32" s="162" t="s">
        <v>7</v>
      </c>
      <c r="E32" s="162" t="s">
        <v>204</v>
      </c>
      <c r="F32" s="162" t="s">
        <v>148</v>
      </c>
      <c r="G32" s="163" t="s">
        <v>62</v>
      </c>
      <c r="H32" s="163" t="s">
        <v>205</v>
      </c>
      <c r="I32" s="163" t="str">
        <f>CONCATENATE(Table_Query_from_MS_Access_Database_1[[#This Row],[RTE]],Table_Query_from_MS_Access_Database_1[[#This Row],[SEC]],Table_Query_from_MS_Access_Database_1[[#This Row],[SEQ]])</f>
        <v>SAF0206</v>
      </c>
      <c r="J32" s="164">
        <v>41730</v>
      </c>
      <c r="K32" s="164">
        <v>41788</v>
      </c>
      <c r="L32" s="164">
        <v>41795</v>
      </c>
      <c r="M32" s="164">
        <v>41806</v>
      </c>
      <c r="N32" s="165"/>
      <c r="O32" s="165"/>
      <c r="P32" s="165">
        <v>275000</v>
      </c>
      <c r="Q32" s="165">
        <f>+Table_Query_from_MS_Access_Database_1[[#This Row],[HSIP]]+Table_Query_from_MS_Access_Database_1[[#This Row],[SPR]]+Table_Query_from_MS_Access_Database_1[[#This Row],[STP OTHER]]</f>
        <v>275000</v>
      </c>
      <c r="R32" s="134">
        <f>R31-Table_Query_from_MS_Access_Database_1[TOTAL OF  AMOUNT]</f>
        <v>827678.57730450784</v>
      </c>
    </row>
    <row r="33" spans="1:18" s="58" customFormat="1" ht="26.4" x14ac:dyDescent="0.3">
      <c r="A33" s="167" t="s">
        <v>187</v>
      </c>
      <c r="B33" s="168" t="s">
        <v>184</v>
      </c>
      <c r="C33" s="168" t="s">
        <v>188</v>
      </c>
      <c r="D33" s="168" t="s">
        <v>9</v>
      </c>
      <c r="E33" s="168" t="s">
        <v>189</v>
      </c>
      <c r="F33" s="168" t="s">
        <v>190</v>
      </c>
      <c r="G33" s="169" t="s">
        <v>62</v>
      </c>
      <c r="H33" s="169" t="s">
        <v>191</v>
      </c>
      <c r="I33" s="169" t="str">
        <f>CONCATENATE(Table_Query_from_MS_Access_Database_1[[#This Row],[RTE]],Table_Query_from_MS_Access_Database_1[[#This Row],[SEC]],Table_Query_from_MS_Access_Database_1[[#This Row],[SEQ]])</f>
        <v>BIS0201</v>
      </c>
      <c r="J33" s="170"/>
      <c r="K33" s="170">
        <v>41612</v>
      </c>
      <c r="L33" s="170">
        <v>41612</v>
      </c>
      <c r="M33" s="170">
        <v>41612</v>
      </c>
      <c r="N33" s="171"/>
      <c r="O33" s="171"/>
      <c r="P33" s="171">
        <v>-9261.48</v>
      </c>
      <c r="Q33" s="171">
        <f>+Table_Query_from_MS_Access_Database_1[[#This Row],[HSIP]]+Table_Query_from_MS_Access_Database_1[[#This Row],[SPR]]+Table_Query_from_MS_Access_Database_1[[#This Row],[STP OTHER]]</f>
        <v>-9261.48</v>
      </c>
      <c r="R33" s="134">
        <f>R32-Table_Query_from_MS_Access_Database_1[TOTAL OF  AMOUNT]</f>
        <v>836940.05730450782</v>
      </c>
    </row>
    <row r="34" spans="1:18" s="58" customFormat="1" ht="26.4" x14ac:dyDescent="0.3">
      <c r="A34" s="167" t="s">
        <v>206</v>
      </c>
      <c r="B34" s="168" t="s">
        <v>207</v>
      </c>
      <c r="C34" s="168" t="s">
        <v>208</v>
      </c>
      <c r="D34" s="168" t="s">
        <v>7</v>
      </c>
      <c r="E34" s="168" t="s">
        <v>209</v>
      </c>
      <c r="F34" s="168" t="s">
        <v>210</v>
      </c>
      <c r="G34" s="169" t="s">
        <v>62</v>
      </c>
      <c r="H34" s="169" t="s">
        <v>167</v>
      </c>
      <c r="I34" s="169" t="str">
        <f>CONCATENATE(Table_Query_from_MS_Access_Database_1[[#This Row],[RTE]],Table_Query_from_MS_Access_Database_1[[#This Row],[SEC]],Table_Query_from_MS_Access_Database_1[[#This Row],[SEQ]])</f>
        <v>SSC0207</v>
      </c>
      <c r="J34" s="170">
        <v>41786</v>
      </c>
      <c r="K34" s="170">
        <v>41808</v>
      </c>
      <c r="L34" s="170">
        <v>41809</v>
      </c>
      <c r="M34" s="170">
        <v>41816</v>
      </c>
      <c r="N34" s="171"/>
      <c r="O34" s="171"/>
      <c r="P34" s="171">
        <v>450000</v>
      </c>
      <c r="Q34" s="171">
        <f>+Table_Query_from_MS_Access_Database_1[[#This Row],[HSIP]]+Table_Query_from_MS_Access_Database_1[[#This Row],[SPR]]+Table_Query_from_MS_Access_Database_1[[#This Row],[STP OTHER]]</f>
        <v>450000</v>
      </c>
      <c r="R34" s="134">
        <f>R33-Table_Query_from_MS_Access_Database_1[TOTAL OF  AMOUNT]</f>
        <v>386940.05730450782</v>
      </c>
    </row>
    <row r="35" spans="1:18" s="58" customFormat="1" ht="39.6" x14ac:dyDescent="0.3">
      <c r="A35" s="172" t="s">
        <v>217</v>
      </c>
      <c r="B35" s="173" t="s">
        <v>198</v>
      </c>
      <c r="C35" s="173" t="s">
        <v>199</v>
      </c>
      <c r="D35" s="173" t="s">
        <v>218</v>
      </c>
      <c r="E35" s="173" t="s">
        <v>200</v>
      </c>
      <c r="F35" s="173" t="s">
        <v>141</v>
      </c>
      <c r="G35" s="174" t="s">
        <v>201</v>
      </c>
      <c r="H35" s="174" t="s">
        <v>201</v>
      </c>
      <c r="I35" s="174" t="str">
        <f>CONCATENATE(Table_Query_from_MS_Access_Database_1[[#This Row],[RTE]],Table_Query_from_MS_Access_Database_1[[#This Row],[SEC]],Table_Query_from_MS_Access_Database_1[[#This Row],[SEQ]])</f>
        <v>000TBDTBD</v>
      </c>
      <c r="J35" s="175"/>
      <c r="K35" s="175">
        <v>41751</v>
      </c>
      <c r="L35" s="175">
        <v>41751</v>
      </c>
      <c r="M35" s="175">
        <v>41765</v>
      </c>
      <c r="N35" s="176"/>
      <c r="O35" s="176"/>
      <c r="P35" s="176">
        <v>384000</v>
      </c>
      <c r="Q35" s="176">
        <f>+Table_Query_from_MS_Access_Database_1[[#This Row],[HSIP]]+Table_Query_from_MS_Access_Database_1[[#This Row],[SPR]]+Table_Query_from_MS_Access_Database_1[[#This Row],[STP OTHER]]</f>
        <v>384000</v>
      </c>
      <c r="R35" s="134">
        <f>R34-Table_Query_from_MS_Access_Database_1[TOTAL OF  AMOUNT]</f>
        <v>2940.0573045078199</v>
      </c>
    </row>
    <row r="36" spans="1:18" s="58" customFormat="1" ht="13.2" x14ac:dyDescent="0.3">
      <c r="F36" s="59"/>
      <c r="G36" s="59"/>
      <c r="H36" s="59"/>
      <c r="I36" s="59"/>
      <c r="J36" s="60"/>
      <c r="K36" s="60"/>
      <c r="L36" s="60"/>
      <c r="M36" s="61" t="s">
        <v>94</v>
      </c>
      <c r="N36" s="136">
        <f>SUM(Table_Query_from_MS_Access_Database_1[HSIP])</f>
        <v>612931.12</v>
      </c>
      <c r="O36" s="136">
        <f>SUM(Table_Query_from_MS_Access_Database_1[SPR])</f>
        <v>235810</v>
      </c>
      <c r="P36" s="136">
        <f>SUM(Table_Query_from_MS_Access_Database_1[STP OTHER])</f>
        <v>1184738.52</v>
      </c>
      <c r="Q36" s="136">
        <f>SUM(Table_Query_from_MS_Access_Database_1[TOTAL OF  AMOUNT])</f>
        <v>2033479.6400000001</v>
      </c>
      <c r="R36" s="137"/>
    </row>
    <row r="37" spans="1:18" s="55" customFormat="1" x14ac:dyDescent="0.3">
      <c r="A37" s="49"/>
      <c r="B37" s="49"/>
      <c r="C37" s="49"/>
      <c r="D37" s="49"/>
      <c r="E37" s="49"/>
      <c r="F37" s="49"/>
      <c r="G37" s="49"/>
      <c r="H37" s="49"/>
      <c r="I37" s="49"/>
      <c r="J37" s="62"/>
      <c r="K37" s="62"/>
      <c r="L37" s="62"/>
      <c r="M37" s="63" t="s">
        <v>93</v>
      </c>
      <c r="N37" s="138">
        <f>+N12-N36</f>
        <v>99179.88</v>
      </c>
      <c r="O37" s="138">
        <f>+O12-O36</f>
        <v>45440</v>
      </c>
      <c r="P37" s="138">
        <f>+P12-P36</f>
        <v>0.55000000004656613</v>
      </c>
      <c r="Q37" s="138">
        <f>+Q12-Q36</f>
        <v>144620.43000000017</v>
      </c>
      <c r="R37" s="137"/>
    </row>
    <row r="38" spans="1:18" s="55" customFormat="1" x14ac:dyDescent="0.3">
      <c r="A38" s="50"/>
      <c r="B38" s="50"/>
      <c r="C38" s="50"/>
      <c r="D38" s="50"/>
      <c r="E38" s="50"/>
      <c r="F38" s="50"/>
      <c r="G38" s="50"/>
      <c r="H38" s="50"/>
      <c r="I38" s="50"/>
      <c r="J38" s="64"/>
      <c r="K38" s="64"/>
      <c r="L38" s="64"/>
      <c r="M38" s="65"/>
      <c r="N38" s="48"/>
      <c r="O38" s="48"/>
      <c r="P38" s="48"/>
      <c r="Q38" s="48"/>
    </row>
    <row r="39" spans="1:18" s="55" customFormat="1" ht="16.8" x14ac:dyDescent="0.35">
      <c r="A39" s="179" t="s">
        <v>37</v>
      </c>
      <c r="B39" s="179"/>
      <c r="C39" s="179"/>
      <c r="D39" s="179"/>
      <c r="E39" s="66"/>
      <c r="F39" s="66"/>
      <c r="G39" s="67"/>
      <c r="H39" s="67"/>
      <c r="I39" s="67"/>
      <c r="J39" s="68"/>
      <c r="K39" s="69"/>
      <c r="L39" s="69"/>
      <c r="M39" s="69"/>
      <c r="N39" s="70"/>
      <c r="O39" s="48"/>
      <c r="P39" s="48"/>
      <c r="Q39" s="50"/>
      <c r="R39" s="50"/>
    </row>
    <row r="40" spans="1:18" s="55" customFormat="1" ht="39.6" x14ac:dyDescent="0.3">
      <c r="A40" s="71" t="s">
        <v>1</v>
      </c>
      <c r="B40" s="72" t="s">
        <v>0</v>
      </c>
      <c r="C40" s="72" t="s">
        <v>3</v>
      </c>
      <c r="D40" s="72" t="s">
        <v>103</v>
      </c>
      <c r="E40" s="72" t="s">
        <v>2</v>
      </c>
      <c r="F40" s="72" t="s">
        <v>55</v>
      </c>
      <c r="G40" s="72" t="s">
        <v>56</v>
      </c>
      <c r="H40" s="72" t="s">
        <v>57</v>
      </c>
      <c r="I40" s="72" t="s">
        <v>64</v>
      </c>
      <c r="J40" s="72" t="s">
        <v>58</v>
      </c>
      <c r="K40" s="72" t="s">
        <v>59</v>
      </c>
      <c r="L40" s="72" t="s">
        <v>60</v>
      </c>
      <c r="M40" s="72" t="s">
        <v>61</v>
      </c>
      <c r="N40" s="73" t="s">
        <v>4</v>
      </c>
      <c r="O40" s="74" t="s">
        <v>5</v>
      </c>
      <c r="P40" s="73" t="s">
        <v>63</v>
      </c>
      <c r="Q40" s="73" t="s">
        <v>110</v>
      </c>
      <c r="R40" s="114" t="s">
        <v>65</v>
      </c>
    </row>
    <row r="41" spans="1:18" s="58" customFormat="1" ht="13.2" x14ac:dyDescent="0.3">
      <c r="A41" s="75"/>
      <c r="B41" s="76"/>
      <c r="C41" s="76"/>
      <c r="D41" s="76"/>
      <c r="E41" s="76"/>
      <c r="F41" s="76"/>
      <c r="G41" s="76"/>
      <c r="H41" s="76"/>
      <c r="I41" s="76" t="str">
        <f>CONCATENATE(Table_Query_from_MS_Access_Database_2[RTE],Table_Query_from_MS_Access_Database_2[SEC],Table_Query_from_MS_Access_Database_2[SEQ])</f>
        <v/>
      </c>
      <c r="J41" s="77"/>
      <c r="K41" s="77"/>
      <c r="L41" s="77"/>
      <c r="M41" s="77"/>
      <c r="N41" s="139"/>
      <c r="O41" s="166"/>
      <c r="P41" s="139"/>
      <c r="Q41" s="140">
        <f>+Table_Query_from_MS_Access_Database_2[HSIP]+Table_Query_from_MS_Access_Database_2[SPR]+Table_Query_from_MS_Access_Database_2[STP OTHER]</f>
        <v>0</v>
      </c>
      <c r="R41" s="141">
        <f>R35-Table_Query_from_MS_Access_Database_2[TOTAL OF AMOUNT]</f>
        <v>2940.0573045078199</v>
      </c>
    </row>
    <row r="42" spans="1:18" s="58" customFormat="1" ht="13.2" x14ac:dyDescent="0.3">
      <c r="J42" s="78"/>
      <c r="K42" s="78"/>
      <c r="L42" s="78"/>
      <c r="M42" s="61" t="s">
        <v>111</v>
      </c>
      <c r="N42" s="136">
        <f>SUM(Table_Query_from_MS_Access_Database_2[[#All],[HSIP]])</f>
        <v>0</v>
      </c>
      <c r="O42" s="136">
        <f>SUM(Table_Query_from_MS_Access_Database_2[[#All],[SPR]])</f>
        <v>0</v>
      </c>
      <c r="P42" s="136">
        <f>SUM(Table_Query_from_MS_Access_Database_2[[#All],[STP OTHER]])</f>
        <v>0</v>
      </c>
      <c r="Q42" s="136">
        <f>SUM(Table_Query_from_MS_Access_Database_2[[#All],[TOTAL OF AMOUNT]])</f>
        <v>0</v>
      </c>
      <c r="R42" s="142"/>
    </row>
    <row r="43" spans="1:18" s="58" customFormat="1" ht="13.2" x14ac:dyDescent="0.3">
      <c r="B43" s="80"/>
      <c r="C43" s="80"/>
      <c r="D43" s="80"/>
      <c r="J43" s="78"/>
      <c r="K43" s="78"/>
      <c r="L43" s="78"/>
      <c r="M43" s="63" t="s">
        <v>93</v>
      </c>
      <c r="N43" s="138">
        <f>+N37-N42</f>
        <v>99179.88</v>
      </c>
      <c r="O43" s="138">
        <f>+O37-O42</f>
        <v>45440</v>
      </c>
      <c r="P43" s="138">
        <f>+P37-P42</f>
        <v>0.55000000004656613</v>
      </c>
      <c r="Q43" s="138">
        <f>+Q37-Q42</f>
        <v>144620.43000000017</v>
      </c>
      <c r="R43" s="137"/>
    </row>
    <row r="44" spans="1:18" s="58" customFormat="1" x14ac:dyDescent="0.3">
      <c r="A44" s="55"/>
      <c r="B44" s="55"/>
      <c r="C44" s="55"/>
      <c r="D44" s="55"/>
      <c r="E44" s="55"/>
      <c r="F44" s="55"/>
      <c r="G44" s="55"/>
      <c r="H44" s="55"/>
      <c r="I44" s="55"/>
      <c r="J44" s="56"/>
      <c r="K44" s="56"/>
      <c r="L44" s="56"/>
      <c r="M44" s="56"/>
      <c r="N44" s="57"/>
      <c r="O44" s="57"/>
      <c r="P44" s="57"/>
      <c r="Q44" s="57"/>
      <c r="R44" s="55"/>
    </row>
    <row r="45" spans="1:18" s="58" customFormat="1" x14ac:dyDescent="0.3">
      <c r="A45" s="55"/>
      <c r="B45" s="55"/>
      <c r="C45" s="55"/>
      <c r="D45" s="55"/>
      <c r="E45" s="55"/>
      <c r="F45" s="55"/>
      <c r="G45" s="55"/>
      <c r="H45" s="55"/>
      <c r="I45" s="55"/>
      <c r="J45" s="56"/>
      <c r="K45" s="56"/>
      <c r="L45" s="56"/>
      <c r="M45" s="56"/>
      <c r="N45" s="57"/>
      <c r="O45" s="57"/>
      <c r="P45" s="57"/>
      <c r="Q45" s="57"/>
      <c r="R45" s="55"/>
    </row>
    <row r="46" spans="1:18" s="118" customFormat="1" ht="16.8" x14ac:dyDescent="0.3">
      <c r="A46" s="81" t="s">
        <v>96</v>
      </c>
      <c r="B46" s="55"/>
      <c r="C46" s="55"/>
      <c r="D46" s="55"/>
      <c r="E46" s="55"/>
      <c r="F46" s="55"/>
      <c r="G46" s="55"/>
      <c r="H46" s="55"/>
      <c r="I46" s="55"/>
      <c r="J46" s="56"/>
      <c r="K46" s="56"/>
      <c r="L46" s="56"/>
      <c r="M46" s="56"/>
      <c r="N46" s="177" t="s">
        <v>74</v>
      </c>
      <c r="O46" s="177"/>
      <c r="P46" s="177"/>
      <c r="Q46" s="177"/>
      <c r="R46" s="66"/>
    </row>
    <row r="47" spans="1:18" x14ac:dyDescent="0.3">
      <c r="A47" s="55"/>
      <c r="B47" s="55"/>
      <c r="C47" s="55"/>
      <c r="D47" s="55"/>
      <c r="E47" s="55"/>
      <c r="F47" s="55"/>
      <c r="G47" s="55"/>
      <c r="H47" s="55"/>
      <c r="I47" s="55"/>
      <c r="J47" s="56"/>
      <c r="K47" s="56"/>
      <c r="L47" s="56"/>
      <c r="M47" s="82"/>
      <c r="N47" s="109" t="s">
        <v>4</v>
      </c>
      <c r="O47" s="109" t="s">
        <v>5</v>
      </c>
      <c r="P47" s="109" t="s">
        <v>75</v>
      </c>
      <c r="Q47" s="109" t="s">
        <v>66</v>
      </c>
      <c r="R47" s="99" t="s">
        <v>76</v>
      </c>
    </row>
    <row r="48" spans="1:18" x14ac:dyDescent="0.3">
      <c r="A48" s="58"/>
      <c r="B48" s="58"/>
      <c r="C48" s="58"/>
      <c r="D48" s="58"/>
      <c r="E48" s="58"/>
      <c r="F48" s="58"/>
      <c r="G48" s="58"/>
      <c r="H48" s="58"/>
      <c r="I48" s="58"/>
      <c r="J48" s="78"/>
      <c r="K48" s="78"/>
      <c r="L48" s="78"/>
      <c r="M48" s="125" t="s">
        <v>240</v>
      </c>
      <c r="N48" s="127">
        <f>+N43</f>
        <v>99179.88</v>
      </c>
      <c r="O48" s="127">
        <f>+O43-O50</f>
        <v>45440</v>
      </c>
      <c r="P48" s="127">
        <f>+P43</f>
        <v>0.55000000004656613</v>
      </c>
      <c r="Q48" s="127">
        <f>SUM(N48:P48)</f>
        <v>144620.43000000005</v>
      </c>
      <c r="R48" s="128">
        <f>R41-O50</f>
        <v>2940.0573045078199</v>
      </c>
    </row>
    <row r="49" spans="1:18" x14ac:dyDescent="0.3">
      <c r="A49" s="58"/>
      <c r="B49" s="58"/>
      <c r="C49" s="58"/>
      <c r="D49" s="58"/>
      <c r="E49" s="58"/>
      <c r="F49" s="58"/>
      <c r="G49" s="58"/>
      <c r="H49" s="58"/>
      <c r="I49" s="58"/>
      <c r="J49" s="78"/>
      <c r="K49" s="78"/>
      <c r="L49" s="78"/>
      <c r="M49" s="125" t="s">
        <v>241</v>
      </c>
      <c r="N49" s="129">
        <f>SUMIFS(Table_Query_from_MS_Access_Database[[#All],[HSIP]],Table_Query_from_MS_Access_Database[[#All],[Transaction Year]],"2014",Table_Query_from_MS_Access_Database[[#All],[Transaction Type]],"Lapsing")</f>
        <v>-99179.88</v>
      </c>
      <c r="O49" s="129">
        <f>SUMIFS(Table_Query_from_MS_Access_Database[[#All],[SPR]],Table_Query_from_MS_Access_Database[[#All],[Transaction Year]],"2014",Table_Query_from_MS_Access_Database[[#All],[Transaction Type]],"Lapsing")</f>
        <v>-45440</v>
      </c>
      <c r="P49" s="129">
        <f>SUMIFS(Table_Query_from_MS_Access_Database[[#All],[STP other]],Table_Query_from_MS_Access_Database[[#All],[Transaction Year]],"2014",Table_Query_from_MS_Access_Database[[#All],[Transaction Type]],"Lapsing")</f>
        <v>-0.55000000000000004</v>
      </c>
      <c r="Q49" s="129">
        <f>SUM(N49:P49)</f>
        <v>-144620.43</v>
      </c>
      <c r="R49" s="132">
        <f>SUMIFS(Table_Query_from_MS_Access_Database_16[[#All],[Total]],Table_Query_from_MS_Access_Database_16[[#All],[Transaction Year]],"2014",Table_Query_from_MS_Access_Database_16[[#All],[Transaction Type]],"Lapsing")</f>
        <v>-2940.06</v>
      </c>
    </row>
    <row r="50" spans="1:18" x14ac:dyDescent="0.3">
      <c r="A50" s="58"/>
      <c r="B50" s="58"/>
      <c r="C50" s="58"/>
      <c r="D50" s="58"/>
      <c r="E50" s="58"/>
      <c r="F50" s="58"/>
      <c r="G50" s="58"/>
      <c r="H50" s="58"/>
      <c r="I50" s="58"/>
      <c r="J50" s="78"/>
      <c r="K50" s="78"/>
      <c r="L50" s="78"/>
      <c r="M50" s="125" t="s">
        <v>242</v>
      </c>
      <c r="N50" s="130">
        <f>SUM(N48:N49)</f>
        <v>0</v>
      </c>
      <c r="O50" s="130">
        <v>0</v>
      </c>
      <c r="P50" s="130">
        <f>SUM(P48:P49)</f>
        <v>4.6566084321852941E-11</v>
      </c>
      <c r="Q50" s="130">
        <f>SUM(N50:P50)</f>
        <v>4.6566084321852941E-11</v>
      </c>
      <c r="R50" s="130">
        <f>O50</f>
        <v>0</v>
      </c>
    </row>
    <row r="51" spans="1:18" x14ac:dyDescent="0.3">
      <c r="A51" s="58"/>
      <c r="B51" s="58"/>
      <c r="C51" s="58"/>
      <c r="D51" s="58"/>
      <c r="E51" s="58"/>
      <c r="F51" s="58"/>
      <c r="G51" s="58"/>
      <c r="H51" s="58"/>
      <c r="I51" s="58"/>
      <c r="J51" s="78"/>
      <c r="K51" s="78"/>
      <c r="L51" s="78"/>
      <c r="M51" s="126" t="s">
        <v>95</v>
      </c>
      <c r="N51" s="131">
        <v>0</v>
      </c>
      <c r="O51" s="131">
        <v>0</v>
      </c>
      <c r="P51" s="131">
        <v>0</v>
      </c>
      <c r="Q51" s="131">
        <v>0</v>
      </c>
      <c r="R51" s="131">
        <v>0</v>
      </c>
    </row>
    <row r="52" spans="1:18" x14ac:dyDescent="0.3">
      <c r="A52" s="55"/>
      <c r="B52" s="55"/>
      <c r="C52" s="55"/>
      <c r="D52" s="55"/>
      <c r="E52" s="55"/>
      <c r="F52" s="55"/>
      <c r="G52" s="55"/>
      <c r="H52" s="55"/>
      <c r="I52" s="55"/>
      <c r="J52" s="56"/>
      <c r="K52" s="56"/>
      <c r="L52" s="56"/>
      <c r="M52" s="56"/>
      <c r="N52" s="57"/>
      <c r="O52" s="57"/>
      <c r="P52" s="57"/>
      <c r="Q52" s="57"/>
      <c r="R52" s="55"/>
    </row>
  </sheetData>
  <sheetProtection autoFilter="0"/>
  <mergeCells count="10">
    <mergeCell ref="N46:Q46"/>
    <mergeCell ref="A1:F1"/>
    <mergeCell ref="A14:D14"/>
    <mergeCell ref="O2:R2"/>
    <mergeCell ref="A9:L9"/>
    <mergeCell ref="N1:S1"/>
    <mergeCell ref="J14:M14"/>
    <mergeCell ref="A39:D39"/>
    <mergeCell ref="A3:C4"/>
    <mergeCell ref="A5:C5"/>
  </mergeCells>
  <pageMargins left="0.5" right="0.25" top="0.75" bottom="0.75" header="0.3" footer="0.3"/>
  <pageSetup paperSize="17" scale="81"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Z66"/>
  <sheetViews>
    <sheetView zoomScaleNormal="100" workbookViewId="0">
      <selection activeCell="H11" sqref="H11:H33"/>
    </sheetView>
  </sheetViews>
  <sheetFormatPr defaultColWidth="19.6640625" defaultRowHeight="14.4" x14ac:dyDescent="0.3"/>
  <cols>
    <col min="1" max="1" width="18.5546875" style="25" customWidth="1"/>
    <col min="2" max="2" width="19" style="25" customWidth="1"/>
    <col min="3" max="3" width="15.44140625" style="25" customWidth="1"/>
    <col min="4" max="4" width="18.44140625" style="25" customWidth="1"/>
    <col min="5" max="5" width="13.33203125" style="25" customWidth="1"/>
    <col min="6" max="6" width="10" style="25" customWidth="1"/>
    <col min="7" max="7" width="13.44140625" style="25" customWidth="1"/>
    <col min="8" max="8" width="11.77734375" style="26" customWidth="1"/>
    <col min="9" max="9" width="6.5546875" style="25" customWidth="1"/>
    <col min="10" max="10" width="10.77734375" style="25" customWidth="1"/>
    <col min="11" max="11" width="13.33203125" style="25" customWidth="1"/>
    <col min="12" max="12" width="16.5546875" style="25" customWidth="1"/>
    <col min="13" max="13" width="11.77734375" style="25" customWidth="1"/>
    <col min="14" max="14" width="15.6640625" style="25" customWidth="1"/>
    <col min="15" max="15" width="8.88671875" style="25" customWidth="1"/>
    <col min="16" max="16" width="8.77734375" style="25" customWidth="1"/>
    <col min="17" max="17" width="22.44140625" style="25" customWidth="1"/>
    <col min="18" max="18" width="60.77734375" style="25" customWidth="1"/>
    <col min="19" max="20" width="9.5546875" style="25" customWidth="1"/>
    <col min="21" max="21" width="11.88671875" style="25" customWidth="1"/>
    <col min="22" max="22" width="64.33203125" style="25" customWidth="1"/>
    <col min="23" max="23" width="14" style="25" customWidth="1"/>
    <col min="24" max="24" width="16.88671875" style="25" customWidth="1"/>
    <col min="25" max="25" width="12.109375" style="25" customWidth="1"/>
    <col min="26" max="26" width="16" style="25" customWidth="1"/>
    <col min="27" max="16384" width="19.6640625" style="9"/>
  </cols>
  <sheetData>
    <row r="1" spans="1:26" ht="18.600000000000001" x14ac:dyDescent="0.35">
      <c r="A1" s="188" t="str">
        <f>+'Federal Funds Transactions'!A1:F1</f>
        <v>Southeastern Arizona Governments Organization</v>
      </c>
      <c r="B1" s="188"/>
      <c r="C1" s="188"/>
      <c r="D1" s="188"/>
      <c r="E1" s="188"/>
      <c r="F1" s="188"/>
    </row>
    <row r="2" spans="1:26" x14ac:dyDescent="0.35">
      <c r="A2" s="27"/>
      <c r="B2" s="27"/>
      <c r="C2" s="27"/>
      <c r="D2" s="27"/>
      <c r="E2" s="27"/>
      <c r="F2" s="27"/>
    </row>
    <row r="3" spans="1:26" x14ac:dyDescent="0.35">
      <c r="A3" s="189" t="s">
        <v>102</v>
      </c>
      <c r="B3" s="189"/>
      <c r="C3" s="189"/>
      <c r="D3" s="189"/>
      <c r="E3" s="189"/>
      <c r="F3" s="189"/>
    </row>
    <row r="4" spans="1:26" x14ac:dyDescent="0.35">
      <c r="A4" s="28"/>
      <c r="B4" s="28"/>
      <c r="C4" s="28"/>
      <c r="D4" s="28"/>
      <c r="E4" s="28"/>
      <c r="F4" s="28"/>
    </row>
    <row r="5" spans="1:26" x14ac:dyDescent="0.35">
      <c r="A5" s="25" t="s">
        <v>101</v>
      </c>
      <c r="B5" s="97">
        <f>+'Federal Funds Transactions'!C5</f>
        <v>0</v>
      </c>
      <c r="C5" s="27"/>
      <c r="D5" s="27"/>
      <c r="E5" s="27"/>
      <c r="F5" s="27"/>
    </row>
    <row r="6" spans="1:26" x14ac:dyDescent="0.35">
      <c r="A6" s="27"/>
      <c r="B6" s="27"/>
      <c r="C6" s="27"/>
      <c r="D6" s="27"/>
      <c r="E6" s="27"/>
      <c r="F6" s="27"/>
    </row>
    <row r="7" spans="1:26" ht="15" customHeight="1" x14ac:dyDescent="0.35">
      <c r="A7" s="192" t="str">
        <f>+'Federal Funds Transactions'!A9:L9</f>
        <v>IMPORTANT! Please review the information in the Notes tab for further explanation of the data in this document.</v>
      </c>
      <c r="B7" s="192"/>
      <c r="C7" s="192"/>
      <c r="D7" s="192"/>
      <c r="E7" s="192"/>
      <c r="F7" s="192"/>
      <c r="G7" s="192"/>
      <c r="H7" s="192"/>
    </row>
    <row r="9" spans="1:26" ht="15.75" customHeight="1" x14ac:dyDescent="0.35">
      <c r="A9" s="190" t="s">
        <v>99</v>
      </c>
      <c r="B9" s="190"/>
      <c r="C9" s="190"/>
      <c r="D9" s="190"/>
      <c r="E9" s="190"/>
      <c r="F9" s="190"/>
      <c r="G9" s="190"/>
      <c r="M9" s="29"/>
      <c r="N9" s="29"/>
      <c r="O9" s="29"/>
      <c r="P9" s="29"/>
      <c r="Q9" s="29"/>
      <c r="R9" s="29"/>
      <c r="S9" s="29"/>
      <c r="T9" s="29"/>
      <c r="U9" s="29"/>
      <c r="V9" s="29"/>
      <c r="W9" s="29"/>
      <c r="X9" s="29"/>
    </row>
    <row r="10" spans="1:26" ht="15.6" x14ac:dyDescent="0.35">
      <c r="A10" s="30"/>
      <c r="B10" s="30"/>
      <c r="C10" s="30"/>
      <c r="D10" s="30"/>
      <c r="E10" s="31"/>
      <c r="F10" s="31"/>
      <c r="G10" s="31"/>
      <c r="H10" s="32"/>
      <c r="I10" s="31"/>
      <c r="J10" s="31"/>
      <c r="K10" s="31"/>
      <c r="L10" s="31"/>
      <c r="M10" s="29"/>
      <c r="N10" s="29"/>
      <c r="O10" s="29"/>
      <c r="P10" s="29"/>
      <c r="Q10" s="29"/>
      <c r="R10" s="29"/>
      <c r="S10" s="29"/>
      <c r="T10" s="29"/>
      <c r="U10" s="29"/>
      <c r="V10" s="29"/>
      <c r="W10" s="29"/>
      <c r="X10" s="29"/>
      <c r="Y10" s="31"/>
      <c r="Z10" s="31"/>
    </row>
    <row r="11" spans="1:26" x14ac:dyDescent="0.3">
      <c r="A11" s="106" t="s">
        <v>50</v>
      </c>
      <c r="B11" s="107" t="s">
        <v>51</v>
      </c>
      <c r="C11" s="107" t="s">
        <v>13</v>
      </c>
      <c r="D11" s="107" t="s">
        <v>52</v>
      </c>
      <c r="E11" s="107" t="s">
        <v>10</v>
      </c>
      <c r="F11" s="107" t="s">
        <v>44</v>
      </c>
      <c r="G11" s="107" t="s">
        <v>45</v>
      </c>
      <c r="H11" s="107" t="s">
        <v>4</v>
      </c>
      <c r="I11" s="107" t="s">
        <v>46</v>
      </c>
      <c r="J11" s="107" t="s">
        <v>5</v>
      </c>
      <c r="K11" s="107" t="s">
        <v>6</v>
      </c>
      <c r="L11" s="107" t="s">
        <v>47</v>
      </c>
      <c r="M11" s="107" t="s">
        <v>48</v>
      </c>
      <c r="N11" s="107" t="s">
        <v>49</v>
      </c>
      <c r="O11" s="107" t="s">
        <v>115</v>
      </c>
      <c r="P11" s="107" t="s">
        <v>116</v>
      </c>
      <c r="Q11" s="107" t="s">
        <v>117</v>
      </c>
      <c r="R11" s="108" t="s">
        <v>118</v>
      </c>
      <c r="S11" s="31"/>
      <c r="T11" s="31"/>
      <c r="U11" s="31"/>
      <c r="V11" s="31"/>
      <c r="W11" s="9"/>
      <c r="X11" s="9"/>
      <c r="Y11" s="9"/>
      <c r="Z11" s="9"/>
    </row>
    <row r="12" spans="1:26" x14ac:dyDescent="0.3">
      <c r="A12" s="91" t="s">
        <v>120</v>
      </c>
      <c r="B12" s="89" t="s">
        <v>106</v>
      </c>
      <c r="C12" s="89" t="s">
        <v>126</v>
      </c>
      <c r="D12" s="89" t="s">
        <v>36</v>
      </c>
      <c r="E12" s="89">
        <v>9432</v>
      </c>
      <c r="F12" s="89"/>
      <c r="G12" s="89"/>
      <c r="H12" s="89"/>
      <c r="I12" s="89"/>
      <c r="J12" s="89"/>
      <c r="K12" s="89">
        <v>9432</v>
      </c>
      <c r="L12" s="89"/>
      <c r="M12" s="89"/>
      <c r="N12" s="89"/>
      <c r="O12" s="90" t="s">
        <v>124</v>
      </c>
      <c r="P12" s="90" t="s">
        <v>119</v>
      </c>
      <c r="Q12" s="90"/>
      <c r="R12" s="93" t="s">
        <v>127</v>
      </c>
      <c r="S12" s="104"/>
      <c r="T12" s="104"/>
      <c r="U12" s="104"/>
      <c r="V12" s="104"/>
      <c r="W12" s="9"/>
      <c r="X12" s="9"/>
      <c r="Y12" s="9"/>
      <c r="Z12" s="9"/>
    </row>
    <row r="13" spans="1:26" x14ac:dyDescent="0.3">
      <c r="A13" s="92" t="s">
        <v>120</v>
      </c>
      <c r="B13" s="90" t="s">
        <v>107</v>
      </c>
      <c r="C13" s="90" t="s">
        <v>128</v>
      </c>
      <c r="D13" s="90" t="s">
        <v>36</v>
      </c>
      <c r="E13" s="90">
        <v>-30000</v>
      </c>
      <c r="F13" s="90"/>
      <c r="G13" s="90"/>
      <c r="H13" s="90"/>
      <c r="I13" s="90"/>
      <c r="J13" s="90"/>
      <c r="K13" s="90">
        <v>-30000</v>
      </c>
      <c r="L13" s="90"/>
      <c r="M13" s="90"/>
      <c r="N13" s="90"/>
      <c r="O13" s="90" t="s">
        <v>124</v>
      </c>
      <c r="P13" s="90" t="s">
        <v>119</v>
      </c>
      <c r="Q13" s="90"/>
      <c r="R13" s="93" t="s">
        <v>129</v>
      </c>
      <c r="S13" s="104"/>
      <c r="T13" s="104"/>
      <c r="U13" s="104"/>
      <c r="V13" s="104"/>
      <c r="W13" s="9"/>
      <c r="X13" s="9"/>
      <c r="Y13" s="9"/>
      <c r="Z13" s="9"/>
    </row>
    <row r="14" spans="1:26" x14ac:dyDescent="0.3">
      <c r="A14" s="92" t="s">
        <v>36</v>
      </c>
      <c r="B14" s="90" t="s">
        <v>106</v>
      </c>
      <c r="C14" s="90" t="s">
        <v>123</v>
      </c>
      <c r="D14" s="90"/>
      <c r="E14" s="90">
        <v>183932</v>
      </c>
      <c r="F14" s="90"/>
      <c r="G14" s="90"/>
      <c r="H14" s="90"/>
      <c r="I14" s="90"/>
      <c r="J14" s="90"/>
      <c r="K14" s="90">
        <v>183932</v>
      </c>
      <c r="L14" s="90"/>
      <c r="M14" s="90"/>
      <c r="N14" s="90"/>
      <c r="O14" s="90" t="s">
        <v>114</v>
      </c>
      <c r="P14" s="90" t="s">
        <v>124</v>
      </c>
      <c r="Q14" s="90"/>
      <c r="R14" s="93" t="s">
        <v>130</v>
      </c>
      <c r="S14" s="104"/>
      <c r="T14" s="104"/>
      <c r="U14" s="104"/>
      <c r="V14" s="104"/>
      <c r="W14" s="9"/>
      <c r="X14" s="9"/>
      <c r="Y14" s="9"/>
      <c r="Z14" s="9"/>
    </row>
    <row r="15" spans="1:26" x14ac:dyDescent="0.3">
      <c r="A15" s="92" t="s">
        <v>36</v>
      </c>
      <c r="B15" s="90" t="s">
        <v>107</v>
      </c>
      <c r="C15" s="90" t="s">
        <v>131</v>
      </c>
      <c r="D15" s="90" t="s">
        <v>121</v>
      </c>
      <c r="E15" s="90">
        <v>-1015069</v>
      </c>
      <c r="F15" s="90"/>
      <c r="G15" s="90"/>
      <c r="H15" s="90"/>
      <c r="I15" s="90"/>
      <c r="J15" s="90"/>
      <c r="K15" s="90">
        <v>-1015069</v>
      </c>
      <c r="L15" s="90"/>
      <c r="M15" s="90"/>
      <c r="N15" s="90"/>
      <c r="O15" s="90" t="s">
        <v>124</v>
      </c>
      <c r="P15" s="90" t="s">
        <v>53</v>
      </c>
      <c r="Q15" s="90"/>
      <c r="R15" s="93" t="s">
        <v>132</v>
      </c>
      <c r="S15" s="104"/>
      <c r="T15" s="104"/>
      <c r="U15" s="104"/>
      <c r="V15" s="104"/>
      <c r="W15" s="9"/>
      <c r="X15" s="9"/>
      <c r="Y15" s="9"/>
      <c r="Z15" s="9"/>
    </row>
    <row r="16" spans="1:26" x14ac:dyDescent="0.3">
      <c r="A16" s="92" t="s">
        <v>36</v>
      </c>
      <c r="B16" s="90" t="s">
        <v>107</v>
      </c>
      <c r="C16" s="90" t="s">
        <v>133</v>
      </c>
      <c r="D16" s="90" t="s">
        <v>122</v>
      </c>
      <c r="E16" s="90">
        <v>-450000</v>
      </c>
      <c r="F16" s="90"/>
      <c r="G16" s="90"/>
      <c r="H16" s="90"/>
      <c r="I16" s="90"/>
      <c r="J16" s="90"/>
      <c r="K16" s="90">
        <v>-450000</v>
      </c>
      <c r="L16" s="90"/>
      <c r="M16" s="90"/>
      <c r="N16" s="90"/>
      <c r="O16" s="90" t="s">
        <v>124</v>
      </c>
      <c r="P16" s="90" t="s">
        <v>119</v>
      </c>
      <c r="Q16" s="90"/>
      <c r="R16" s="93" t="s">
        <v>134</v>
      </c>
      <c r="S16" s="104"/>
      <c r="T16" s="104"/>
      <c r="U16" s="104"/>
      <c r="V16" s="104"/>
      <c r="W16" s="9"/>
      <c r="X16" s="9"/>
      <c r="Y16" s="9"/>
      <c r="Z16" s="9"/>
    </row>
    <row r="17" spans="1:26" x14ac:dyDescent="0.3">
      <c r="A17" s="94" t="s">
        <v>36</v>
      </c>
      <c r="B17" s="95" t="s">
        <v>108</v>
      </c>
      <c r="C17" s="95" t="s">
        <v>128</v>
      </c>
      <c r="D17" s="95" t="s">
        <v>36</v>
      </c>
      <c r="E17" s="95">
        <v>30000</v>
      </c>
      <c r="F17" s="95"/>
      <c r="G17" s="95"/>
      <c r="H17" s="95"/>
      <c r="I17" s="95"/>
      <c r="J17" s="95"/>
      <c r="K17" s="95">
        <v>30000</v>
      </c>
      <c r="L17" s="95"/>
      <c r="M17" s="95"/>
      <c r="N17" s="95"/>
      <c r="O17" s="95" t="s">
        <v>119</v>
      </c>
      <c r="P17" s="95" t="s">
        <v>124</v>
      </c>
      <c r="Q17" s="95"/>
      <c r="R17" s="96" t="s">
        <v>135</v>
      </c>
      <c r="S17" s="104"/>
      <c r="T17" s="104"/>
      <c r="U17" s="104"/>
      <c r="V17" s="104"/>
      <c r="W17" s="9"/>
      <c r="X17" s="9"/>
      <c r="Y17" s="9"/>
      <c r="Z17" s="9"/>
    </row>
    <row r="18" spans="1:26" x14ac:dyDescent="0.3">
      <c r="A18" s="104" t="s">
        <v>36</v>
      </c>
      <c r="B18" s="104" t="s">
        <v>109</v>
      </c>
      <c r="C18" s="104" t="s">
        <v>126</v>
      </c>
      <c r="D18" s="104" t="s">
        <v>36</v>
      </c>
      <c r="E18" s="104">
        <v>-9432</v>
      </c>
      <c r="F18" s="104"/>
      <c r="G18" s="104"/>
      <c r="H18" s="104"/>
      <c r="I18" s="104"/>
      <c r="J18" s="104"/>
      <c r="K18" s="104">
        <v>-9432</v>
      </c>
      <c r="L18" s="104"/>
      <c r="M18" s="104"/>
      <c r="N18" s="104"/>
      <c r="O18" s="104" t="s">
        <v>124</v>
      </c>
      <c r="P18" s="104" t="s">
        <v>119</v>
      </c>
      <c r="Q18" s="104"/>
      <c r="R18" s="104" t="s">
        <v>136</v>
      </c>
      <c r="S18" s="104"/>
      <c r="T18" s="104"/>
      <c r="U18" s="104"/>
      <c r="V18" s="104"/>
      <c r="W18" s="9"/>
      <c r="X18" s="9"/>
      <c r="Y18" s="9"/>
      <c r="Z18" s="9"/>
    </row>
    <row r="19" spans="1:26" x14ac:dyDescent="0.3">
      <c r="A19" s="104" t="s">
        <v>122</v>
      </c>
      <c r="B19" s="104" t="s">
        <v>244</v>
      </c>
      <c r="C19" s="104" t="s">
        <v>245</v>
      </c>
      <c r="D19" s="104" t="s">
        <v>246</v>
      </c>
      <c r="E19" s="104">
        <v>-144620.43</v>
      </c>
      <c r="F19" s="104"/>
      <c r="G19" s="104"/>
      <c r="H19" s="104">
        <v>-99179.88</v>
      </c>
      <c r="I19" s="104"/>
      <c r="J19" s="104">
        <v>-45440</v>
      </c>
      <c r="K19" s="104">
        <v>-0.55000000000000004</v>
      </c>
      <c r="L19" s="104"/>
      <c r="M19" s="104"/>
      <c r="N19" s="104"/>
      <c r="O19" s="104" t="s">
        <v>124</v>
      </c>
      <c r="P19" s="104" t="s">
        <v>119</v>
      </c>
      <c r="Q19" s="104"/>
      <c r="R19" s="104" t="s">
        <v>247</v>
      </c>
      <c r="S19" s="104"/>
      <c r="T19" s="104"/>
      <c r="U19" s="104"/>
      <c r="V19" s="104"/>
    </row>
    <row r="20" spans="1:26" x14ac:dyDescent="0.3">
      <c r="A20" s="104" t="s">
        <v>122</v>
      </c>
      <c r="B20" s="104" t="s">
        <v>106</v>
      </c>
      <c r="C20" s="104" t="s">
        <v>154</v>
      </c>
      <c r="D20" s="104" t="s">
        <v>156</v>
      </c>
      <c r="E20" s="104">
        <v>307204</v>
      </c>
      <c r="F20" s="104"/>
      <c r="G20" s="104"/>
      <c r="H20" s="104"/>
      <c r="I20" s="104"/>
      <c r="J20" s="104"/>
      <c r="K20" s="104">
        <v>307204</v>
      </c>
      <c r="L20" s="104"/>
      <c r="M20" s="104"/>
      <c r="N20" s="104"/>
      <c r="O20" s="104" t="s">
        <v>155</v>
      </c>
      <c r="P20" s="104" t="s">
        <v>124</v>
      </c>
      <c r="Q20" s="104" t="s">
        <v>157</v>
      </c>
      <c r="R20" s="104" t="s">
        <v>158</v>
      </c>
      <c r="S20" s="104"/>
      <c r="T20" s="104"/>
      <c r="U20" s="104"/>
      <c r="V20" s="104"/>
      <c r="W20" s="105"/>
      <c r="X20" s="105"/>
      <c r="Y20" s="105"/>
      <c r="Z20" s="105"/>
    </row>
    <row r="21" spans="1:26" x14ac:dyDescent="0.3">
      <c r="A21" s="104" t="s">
        <v>122</v>
      </c>
      <c r="B21" s="104" t="s">
        <v>106</v>
      </c>
      <c r="C21" s="104" t="s">
        <v>219</v>
      </c>
      <c r="D21" s="104" t="s">
        <v>156</v>
      </c>
      <c r="E21" s="104">
        <v>193259</v>
      </c>
      <c r="F21" s="104"/>
      <c r="G21" s="104"/>
      <c r="H21" s="104">
        <v>193259</v>
      </c>
      <c r="I21" s="104"/>
      <c r="J21" s="104"/>
      <c r="K21" s="104"/>
      <c r="L21" s="104"/>
      <c r="M21" s="104"/>
      <c r="N21" s="104"/>
      <c r="O21" s="104" t="s">
        <v>220</v>
      </c>
      <c r="P21" s="104" t="s">
        <v>124</v>
      </c>
      <c r="Q21" s="104"/>
      <c r="R21" s="104" t="s">
        <v>221</v>
      </c>
      <c r="S21" s="104"/>
      <c r="T21" s="104"/>
      <c r="U21" s="104"/>
      <c r="V21" s="104"/>
    </row>
    <row r="22" spans="1:26" x14ac:dyDescent="0.3">
      <c r="A22" s="104" t="s">
        <v>122</v>
      </c>
      <c r="B22" s="104" t="s">
        <v>107</v>
      </c>
      <c r="C22" s="104" t="s">
        <v>212</v>
      </c>
      <c r="D22" s="104" t="s">
        <v>121</v>
      </c>
      <c r="E22" s="104">
        <v>-212090</v>
      </c>
      <c r="F22" s="104"/>
      <c r="G22" s="104"/>
      <c r="H22" s="104"/>
      <c r="I22" s="104"/>
      <c r="J22" s="104"/>
      <c r="K22" s="104">
        <v>-212090</v>
      </c>
      <c r="L22" s="104"/>
      <c r="M22" s="104"/>
      <c r="N22" s="104"/>
      <c r="O22" s="104" t="s">
        <v>124</v>
      </c>
      <c r="P22" s="104" t="s">
        <v>159</v>
      </c>
      <c r="Q22" s="104"/>
      <c r="R22" s="104" t="s">
        <v>160</v>
      </c>
      <c r="S22" s="104"/>
      <c r="T22" s="104"/>
      <c r="U22" s="104"/>
      <c r="V22" s="104"/>
    </row>
    <row r="23" spans="1:26" x14ac:dyDescent="0.3">
      <c r="A23" s="104" t="s">
        <v>122</v>
      </c>
      <c r="B23" s="104" t="s">
        <v>107</v>
      </c>
      <c r="C23" s="104" t="s">
        <v>213</v>
      </c>
      <c r="D23" s="104" t="s">
        <v>121</v>
      </c>
      <c r="E23" s="104">
        <v>-433400</v>
      </c>
      <c r="F23" s="104"/>
      <c r="G23" s="104"/>
      <c r="H23" s="104"/>
      <c r="I23" s="104"/>
      <c r="J23" s="104"/>
      <c r="K23" s="104">
        <v>-433400</v>
      </c>
      <c r="L23" s="104"/>
      <c r="M23" s="104"/>
      <c r="N23" s="104"/>
      <c r="O23" s="104" t="s">
        <v>124</v>
      </c>
      <c r="P23" s="104" t="s">
        <v>119</v>
      </c>
      <c r="Q23" s="104"/>
      <c r="R23" s="104" t="s">
        <v>214</v>
      </c>
      <c r="S23" s="104"/>
      <c r="T23" s="104"/>
      <c r="U23" s="104"/>
      <c r="V23" s="104"/>
    </row>
    <row r="24" spans="1:26" x14ac:dyDescent="0.3">
      <c r="A24" s="104" t="s">
        <v>122</v>
      </c>
      <c r="B24" s="104" t="s">
        <v>108</v>
      </c>
      <c r="C24" s="104" t="s">
        <v>133</v>
      </c>
      <c r="D24" s="104" t="s">
        <v>122</v>
      </c>
      <c r="E24" s="104">
        <v>450000</v>
      </c>
      <c r="F24" s="104"/>
      <c r="G24" s="104"/>
      <c r="H24" s="104"/>
      <c r="I24" s="104"/>
      <c r="J24" s="104"/>
      <c r="K24" s="104">
        <v>450000</v>
      </c>
      <c r="L24" s="104"/>
      <c r="M24" s="104"/>
      <c r="N24" s="104"/>
      <c r="O24" s="104" t="s">
        <v>119</v>
      </c>
      <c r="P24" s="104" t="s">
        <v>124</v>
      </c>
      <c r="Q24" s="104"/>
      <c r="R24" s="104" t="s">
        <v>134</v>
      </c>
      <c r="S24" s="104"/>
      <c r="T24" s="104"/>
      <c r="U24" s="104"/>
      <c r="V24" s="104"/>
    </row>
    <row r="25" spans="1:26" x14ac:dyDescent="0.3">
      <c r="A25" s="104" t="s">
        <v>122</v>
      </c>
      <c r="B25" s="104" t="s">
        <v>109</v>
      </c>
      <c r="C25" s="104" t="s">
        <v>123</v>
      </c>
      <c r="D25" s="104"/>
      <c r="E25" s="104">
        <v>-183932</v>
      </c>
      <c r="F25" s="104"/>
      <c r="G25" s="104"/>
      <c r="H25" s="104"/>
      <c r="I25" s="104"/>
      <c r="J25" s="104"/>
      <c r="K25" s="104">
        <v>-183932</v>
      </c>
      <c r="L25" s="104"/>
      <c r="M25" s="104"/>
      <c r="N25" s="104"/>
      <c r="O25" s="104" t="s">
        <v>124</v>
      </c>
      <c r="P25" s="104" t="s">
        <v>114</v>
      </c>
      <c r="Q25" s="104"/>
      <c r="R25" s="104" t="s">
        <v>137</v>
      </c>
      <c r="S25" s="104"/>
      <c r="T25" s="104"/>
      <c r="U25" s="104"/>
      <c r="V25" s="104"/>
    </row>
    <row r="26" spans="1:26" x14ac:dyDescent="0.3">
      <c r="A26" s="104" t="s">
        <v>122</v>
      </c>
      <c r="B26" s="104" t="s">
        <v>54</v>
      </c>
      <c r="C26" s="104" t="s">
        <v>229</v>
      </c>
      <c r="D26" s="104" t="s">
        <v>246</v>
      </c>
      <c r="E26" s="104">
        <v>-915</v>
      </c>
      <c r="F26" s="104"/>
      <c r="G26" s="104"/>
      <c r="H26" s="104">
        <v>-915</v>
      </c>
      <c r="I26" s="104"/>
      <c r="J26" s="104"/>
      <c r="K26" s="104"/>
      <c r="L26" s="104"/>
      <c r="M26" s="104"/>
      <c r="N26" s="104"/>
      <c r="O26" s="104" t="s">
        <v>124</v>
      </c>
      <c r="P26" s="104" t="s">
        <v>155</v>
      </c>
      <c r="Q26" s="104"/>
      <c r="R26" s="104" t="s">
        <v>230</v>
      </c>
      <c r="S26" s="104"/>
      <c r="T26" s="104"/>
      <c r="U26" s="104"/>
      <c r="V26" s="104"/>
    </row>
    <row r="27" spans="1:26" x14ac:dyDescent="0.3">
      <c r="A27" s="104" t="s">
        <v>121</v>
      </c>
      <c r="B27" s="104" t="s">
        <v>106</v>
      </c>
      <c r="C27" s="104" t="s">
        <v>215</v>
      </c>
      <c r="D27" s="104" t="s">
        <v>156</v>
      </c>
      <c r="E27" s="104">
        <v>523560</v>
      </c>
      <c r="F27" s="104"/>
      <c r="G27" s="104"/>
      <c r="H27" s="104"/>
      <c r="I27" s="104"/>
      <c r="J27" s="104"/>
      <c r="K27" s="104">
        <v>523560</v>
      </c>
      <c r="L27" s="104"/>
      <c r="M27" s="104"/>
      <c r="N27" s="104"/>
      <c r="O27" s="104" t="s">
        <v>159</v>
      </c>
      <c r="P27" s="104" t="s">
        <v>124</v>
      </c>
      <c r="Q27" s="104" t="s">
        <v>161</v>
      </c>
      <c r="R27" s="104" t="s">
        <v>162</v>
      </c>
      <c r="S27" s="104"/>
      <c r="T27" s="104"/>
      <c r="U27" s="104"/>
      <c r="V27" s="104"/>
    </row>
    <row r="28" spans="1:26" x14ac:dyDescent="0.3">
      <c r="A28" s="113" t="s">
        <v>121</v>
      </c>
      <c r="B28" s="113" t="s">
        <v>108</v>
      </c>
      <c r="C28" s="113" t="s">
        <v>131</v>
      </c>
      <c r="D28" s="113" t="s">
        <v>121</v>
      </c>
      <c r="E28" s="113">
        <v>1015069</v>
      </c>
      <c r="F28" s="113"/>
      <c r="G28" s="113"/>
      <c r="H28" s="113"/>
      <c r="I28" s="113"/>
      <c r="J28" s="113"/>
      <c r="K28" s="113">
        <v>1015069</v>
      </c>
      <c r="L28" s="113"/>
      <c r="M28" s="113"/>
      <c r="N28" s="113"/>
      <c r="O28" s="113" t="s">
        <v>53</v>
      </c>
      <c r="P28" s="113" t="s">
        <v>124</v>
      </c>
      <c r="Q28" s="113"/>
      <c r="R28" s="113" t="s">
        <v>138</v>
      </c>
      <c r="S28" s="104"/>
      <c r="T28" s="104"/>
      <c r="U28" s="104"/>
      <c r="V28" s="104"/>
    </row>
    <row r="29" spans="1:26" x14ac:dyDescent="0.3">
      <c r="A29" s="113" t="s">
        <v>121</v>
      </c>
      <c r="B29" s="113" t="s">
        <v>108</v>
      </c>
      <c r="C29" s="113" t="s">
        <v>212</v>
      </c>
      <c r="D29" s="113" t="s">
        <v>121</v>
      </c>
      <c r="E29" s="113">
        <v>212090</v>
      </c>
      <c r="F29" s="113"/>
      <c r="G29" s="113"/>
      <c r="H29" s="113"/>
      <c r="I29" s="113"/>
      <c r="J29" s="113"/>
      <c r="K29" s="113">
        <v>212090</v>
      </c>
      <c r="L29" s="113"/>
      <c r="M29" s="113"/>
      <c r="N29" s="113"/>
      <c r="O29" s="113" t="s">
        <v>159</v>
      </c>
      <c r="P29" s="113" t="s">
        <v>124</v>
      </c>
      <c r="Q29" s="113"/>
      <c r="R29" s="113" t="s">
        <v>160</v>
      </c>
      <c r="S29" s="104"/>
      <c r="T29" s="104"/>
      <c r="U29" s="104"/>
      <c r="V29" s="104"/>
    </row>
    <row r="30" spans="1:26" x14ac:dyDescent="0.3">
      <c r="A30" s="113" t="s">
        <v>121</v>
      </c>
      <c r="B30" s="113" t="s">
        <v>108</v>
      </c>
      <c r="C30" s="113" t="s">
        <v>213</v>
      </c>
      <c r="D30" s="113"/>
      <c r="E30" s="113">
        <v>433400</v>
      </c>
      <c r="F30" s="113"/>
      <c r="G30" s="113"/>
      <c r="H30" s="113"/>
      <c r="I30" s="113"/>
      <c r="J30" s="113"/>
      <c r="K30" s="113">
        <v>433400</v>
      </c>
      <c r="L30" s="113"/>
      <c r="M30" s="113"/>
      <c r="N30" s="113"/>
      <c r="O30" s="113" t="s">
        <v>119</v>
      </c>
      <c r="P30" s="113" t="s">
        <v>124</v>
      </c>
      <c r="Q30" s="113"/>
      <c r="R30" s="113" t="s">
        <v>214</v>
      </c>
      <c r="S30" s="104"/>
      <c r="T30" s="104"/>
      <c r="U30" s="104"/>
      <c r="V30" s="104"/>
    </row>
    <row r="31" spans="1:26" x14ac:dyDescent="0.3">
      <c r="A31" s="113" t="s">
        <v>156</v>
      </c>
      <c r="B31" s="113" t="s">
        <v>109</v>
      </c>
      <c r="C31" s="113" t="s">
        <v>154</v>
      </c>
      <c r="D31" s="113" t="s">
        <v>156</v>
      </c>
      <c r="E31" s="113">
        <v>-307204</v>
      </c>
      <c r="F31" s="113"/>
      <c r="G31" s="113"/>
      <c r="H31" s="113"/>
      <c r="I31" s="113"/>
      <c r="J31" s="113"/>
      <c r="K31" s="113">
        <v>-307204</v>
      </c>
      <c r="L31" s="113"/>
      <c r="M31" s="113"/>
      <c r="N31" s="113"/>
      <c r="O31" s="113" t="s">
        <v>124</v>
      </c>
      <c r="P31" s="113" t="s">
        <v>155</v>
      </c>
      <c r="Q31" s="113" t="s">
        <v>157</v>
      </c>
      <c r="R31" s="113" t="s">
        <v>158</v>
      </c>
    </row>
    <row r="32" spans="1:26" x14ac:dyDescent="0.3">
      <c r="A32" s="113" t="s">
        <v>156</v>
      </c>
      <c r="B32" s="113" t="s">
        <v>109</v>
      </c>
      <c r="C32" s="113" t="s">
        <v>215</v>
      </c>
      <c r="D32" s="113" t="s">
        <v>156</v>
      </c>
      <c r="E32" s="113">
        <v>-523560</v>
      </c>
      <c r="F32" s="113"/>
      <c r="G32" s="113"/>
      <c r="H32" s="113"/>
      <c r="I32" s="113"/>
      <c r="J32" s="113"/>
      <c r="K32" s="113">
        <v>-523560</v>
      </c>
      <c r="L32" s="113"/>
      <c r="M32" s="113"/>
      <c r="N32" s="113"/>
      <c r="O32" s="113" t="s">
        <v>124</v>
      </c>
      <c r="P32" s="113" t="s">
        <v>159</v>
      </c>
      <c r="Q32" s="113" t="s">
        <v>161</v>
      </c>
      <c r="R32" s="113" t="s">
        <v>162</v>
      </c>
    </row>
    <row r="33" spans="1:26" x14ac:dyDescent="0.3">
      <c r="A33" s="25" t="s">
        <v>156</v>
      </c>
      <c r="B33" s="25" t="s">
        <v>109</v>
      </c>
      <c r="C33" s="25" t="s">
        <v>219</v>
      </c>
      <c r="E33" s="25">
        <v>-193259</v>
      </c>
      <c r="H33" s="25">
        <v>-193259</v>
      </c>
      <c r="O33" s="25" t="s">
        <v>124</v>
      </c>
      <c r="P33" s="25" t="s">
        <v>220</v>
      </c>
      <c r="R33" s="25" t="s">
        <v>222</v>
      </c>
    </row>
    <row r="36" spans="1:26" x14ac:dyDescent="0.3">
      <c r="S36" s="9"/>
      <c r="T36" s="9"/>
      <c r="U36" s="9"/>
      <c r="V36" s="9"/>
      <c r="W36" s="9"/>
      <c r="X36" s="9"/>
      <c r="Y36" s="9"/>
      <c r="Z36" s="9"/>
    </row>
    <row r="37" spans="1:26" ht="15.6" x14ac:dyDescent="0.3">
      <c r="A37" s="191" t="s">
        <v>100</v>
      </c>
      <c r="B37" s="191"/>
      <c r="C37" s="191"/>
      <c r="D37" s="191"/>
      <c r="E37" s="191"/>
      <c r="F37" s="191"/>
      <c r="G37" s="191"/>
      <c r="S37" s="9"/>
      <c r="T37" s="9"/>
      <c r="U37" s="9"/>
      <c r="V37" s="9"/>
      <c r="W37" s="9"/>
      <c r="X37" s="9"/>
      <c r="Y37" s="9"/>
      <c r="Z37" s="9"/>
    </row>
    <row r="38" spans="1:26" x14ac:dyDescent="0.3">
      <c r="S38" s="9"/>
      <c r="T38" s="9"/>
      <c r="U38" s="9"/>
      <c r="V38" s="9"/>
      <c r="W38" s="9"/>
      <c r="X38" s="9"/>
      <c r="Y38" s="9"/>
      <c r="Z38" s="9"/>
    </row>
    <row r="39" spans="1:26" x14ac:dyDescent="0.3">
      <c r="A39" s="104" t="s">
        <v>50</v>
      </c>
      <c r="B39" s="104" t="s">
        <v>51</v>
      </c>
      <c r="C39" s="104" t="s">
        <v>13</v>
      </c>
      <c r="D39" s="104" t="s">
        <v>52</v>
      </c>
      <c r="E39" s="104" t="s">
        <v>10</v>
      </c>
      <c r="F39" s="104" t="s">
        <v>44</v>
      </c>
      <c r="G39" s="104" t="s">
        <v>45</v>
      </c>
      <c r="H39" s="104" t="s">
        <v>4</v>
      </c>
      <c r="I39" s="104" t="s">
        <v>46</v>
      </c>
      <c r="J39" s="104" t="s">
        <v>5</v>
      </c>
      <c r="K39" s="104" t="s">
        <v>6</v>
      </c>
      <c r="L39" s="104" t="s">
        <v>47</v>
      </c>
      <c r="M39" s="104" t="s">
        <v>48</v>
      </c>
      <c r="N39" s="104" t="s">
        <v>49</v>
      </c>
      <c r="O39" s="104" t="s">
        <v>115</v>
      </c>
      <c r="P39" s="104" t="s">
        <v>116</v>
      </c>
      <c r="Q39" s="104" t="s">
        <v>239</v>
      </c>
      <c r="R39" s="104" t="s">
        <v>118</v>
      </c>
      <c r="S39" s="9"/>
      <c r="T39" s="9"/>
      <c r="U39" s="9"/>
      <c r="V39" s="9"/>
      <c r="W39" s="9"/>
      <c r="X39" s="9"/>
      <c r="Y39" s="9"/>
      <c r="Z39" s="9"/>
    </row>
    <row r="40" spans="1:26" x14ac:dyDescent="0.3">
      <c r="A40" s="31" t="s">
        <v>120</v>
      </c>
      <c r="B40" s="31" t="s">
        <v>106</v>
      </c>
      <c r="C40" s="31" t="s">
        <v>126</v>
      </c>
      <c r="D40" s="31" t="s">
        <v>36</v>
      </c>
      <c r="E40" s="31">
        <v>9432</v>
      </c>
      <c r="F40" s="31"/>
      <c r="G40" s="31"/>
      <c r="H40" s="31"/>
      <c r="I40" s="31"/>
      <c r="J40" s="31"/>
      <c r="K40" s="31">
        <v>9432</v>
      </c>
      <c r="L40" s="31"/>
      <c r="M40" s="31"/>
      <c r="N40" s="31"/>
      <c r="O40" s="104" t="s">
        <v>124</v>
      </c>
      <c r="P40" s="104" t="s">
        <v>119</v>
      </c>
      <c r="Q40" s="104"/>
      <c r="R40" s="104" t="s">
        <v>127</v>
      </c>
      <c r="S40" s="9"/>
      <c r="T40" s="9"/>
      <c r="U40" s="9"/>
      <c r="V40" s="9"/>
      <c r="W40" s="9"/>
      <c r="X40" s="9"/>
      <c r="Y40" s="9"/>
      <c r="Z40" s="9"/>
    </row>
    <row r="41" spans="1:26" x14ac:dyDescent="0.3">
      <c r="A41" s="104" t="s">
        <v>120</v>
      </c>
      <c r="B41" s="104" t="s">
        <v>107</v>
      </c>
      <c r="C41" s="104" t="s">
        <v>128</v>
      </c>
      <c r="D41" s="104" t="s">
        <v>36</v>
      </c>
      <c r="E41" s="104">
        <v>-30000</v>
      </c>
      <c r="F41" s="104"/>
      <c r="G41" s="104"/>
      <c r="H41" s="104"/>
      <c r="I41" s="104"/>
      <c r="J41" s="104"/>
      <c r="K41" s="104">
        <v>-30000</v>
      </c>
      <c r="L41" s="104"/>
      <c r="M41" s="104"/>
      <c r="N41" s="104"/>
      <c r="O41" s="104" t="s">
        <v>124</v>
      </c>
      <c r="P41" s="104" t="s">
        <v>119</v>
      </c>
      <c r="Q41" s="104"/>
      <c r="R41" s="104" t="s">
        <v>129</v>
      </c>
      <c r="S41" s="9"/>
      <c r="T41" s="9"/>
      <c r="U41" s="9"/>
      <c r="V41" s="9"/>
      <c r="W41" s="9"/>
      <c r="X41" s="9"/>
      <c r="Y41" s="9"/>
      <c r="Z41" s="9"/>
    </row>
    <row r="42" spans="1:26" x14ac:dyDescent="0.3">
      <c r="A42" s="104" t="s">
        <v>36</v>
      </c>
      <c r="B42" s="104" t="s">
        <v>106</v>
      </c>
      <c r="C42" s="104" t="s">
        <v>123</v>
      </c>
      <c r="D42" s="104"/>
      <c r="E42" s="104">
        <v>174000</v>
      </c>
      <c r="F42" s="104"/>
      <c r="G42" s="104"/>
      <c r="H42" s="104"/>
      <c r="I42" s="104"/>
      <c r="J42" s="104"/>
      <c r="K42" s="104">
        <v>174000</v>
      </c>
      <c r="L42" s="104"/>
      <c r="M42" s="104"/>
      <c r="N42" s="104"/>
      <c r="O42" s="104" t="s">
        <v>114</v>
      </c>
      <c r="P42" s="104" t="s">
        <v>124</v>
      </c>
      <c r="Q42" s="104"/>
      <c r="R42" s="104" t="s">
        <v>130</v>
      </c>
      <c r="S42" s="9"/>
      <c r="T42" s="9"/>
      <c r="U42" s="9"/>
      <c r="V42" s="9"/>
      <c r="W42" s="9"/>
      <c r="X42" s="9"/>
      <c r="Y42" s="9"/>
      <c r="Z42" s="9"/>
    </row>
    <row r="43" spans="1:26" x14ac:dyDescent="0.3">
      <c r="A43" s="104" t="s">
        <v>36</v>
      </c>
      <c r="B43" s="104" t="s">
        <v>107</v>
      </c>
      <c r="C43" s="104" t="s">
        <v>131</v>
      </c>
      <c r="D43" s="104" t="s">
        <v>121</v>
      </c>
      <c r="E43" s="104">
        <v>-969391</v>
      </c>
      <c r="F43" s="104"/>
      <c r="G43" s="104"/>
      <c r="H43" s="104"/>
      <c r="I43" s="104"/>
      <c r="J43" s="104"/>
      <c r="K43" s="104">
        <v>-969391</v>
      </c>
      <c r="L43" s="104"/>
      <c r="M43" s="104"/>
      <c r="N43" s="104"/>
      <c r="O43" s="104" t="s">
        <v>124</v>
      </c>
      <c r="P43" s="104" t="s">
        <v>53</v>
      </c>
      <c r="Q43" s="104"/>
      <c r="R43" s="104" t="s">
        <v>132</v>
      </c>
      <c r="S43" s="9"/>
      <c r="T43" s="9"/>
      <c r="U43" s="9"/>
      <c r="V43" s="9"/>
      <c r="W43" s="9"/>
      <c r="X43" s="9"/>
      <c r="Y43" s="9"/>
      <c r="Z43" s="9"/>
    </row>
    <row r="44" spans="1:26" x14ac:dyDescent="0.3">
      <c r="A44" s="104" t="s">
        <v>36</v>
      </c>
      <c r="B44" s="104" t="s">
        <v>107</v>
      </c>
      <c r="C44" s="104" t="s">
        <v>133</v>
      </c>
      <c r="D44" s="104" t="s">
        <v>122</v>
      </c>
      <c r="E44" s="104">
        <v>-450000</v>
      </c>
      <c r="F44" s="104"/>
      <c r="G44" s="104"/>
      <c r="H44" s="104"/>
      <c r="I44" s="104"/>
      <c r="J44" s="104"/>
      <c r="K44" s="104">
        <v>-450000</v>
      </c>
      <c r="L44" s="104"/>
      <c r="M44" s="104"/>
      <c r="N44" s="104"/>
      <c r="O44" s="104" t="s">
        <v>124</v>
      </c>
      <c r="P44" s="104" t="s">
        <v>119</v>
      </c>
      <c r="Q44" s="104"/>
      <c r="R44" s="104" t="s">
        <v>134</v>
      </c>
      <c r="W44" s="9"/>
      <c r="X44" s="9"/>
      <c r="Y44" s="9"/>
      <c r="Z44" s="9"/>
    </row>
    <row r="45" spans="1:26" x14ac:dyDescent="0.3">
      <c r="A45" s="104" t="s">
        <v>36</v>
      </c>
      <c r="B45" s="104" t="s">
        <v>108</v>
      </c>
      <c r="C45" s="104" t="s">
        <v>128</v>
      </c>
      <c r="D45" s="104" t="s">
        <v>36</v>
      </c>
      <c r="E45" s="104">
        <v>30000</v>
      </c>
      <c r="F45" s="104"/>
      <c r="G45" s="104"/>
      <c r="H45" s="104"/>
      <c r="I45" s="104"/>
      <c r="J45" s="104"/>
      <c r="K45" s="104">
        <v>30000</v>
      </c>
      <c r="L45" s="104"/>
      <c r="M45" s="104"/>
      <c r="N45" s="104"/>
      <c r="O45" s="104" t="s">
        <v>119</v>
      </c>
      <c r="P45" s="104" t="s">
        <v>124</v>
      </c>
      <c r="Q45" s="104"/>
      <c r="R45" s="104" t="s">
        <v>135</v>
      </c>
      <c r="W45" s="9"/>
      <c r="X45" s="9"/>
      <c r="Y45" s="9"/>
      <c r="Z45" s="9"/>
    </row>
    <row r="46" spans="1:26" x14ac:dyDescent="0.3">
      <c r="A46" s="104" t="s">
        <v>36</v>
      </c>
      <c r="B46" s="104" t="s">
        <v>109</v>
      </c>
      <c r="C46" s="104" t="s">
        <v>126</v>
      </c>
      <c r="D46" s="104" t="s">
        <v>36</v>
      </c>
      <c r="E46" s="104">
        <v>-9432</v>
      </c>
      <c r="F46" s="104"/>
      <c r="G46" s="104"/>
      <c r="H46" s="104"/>
      <c r="I46" s="104"/>
      <c r="J46" s="104"/>
      <c r="K46" s="104">
        <v>-9432</v>
      </c>
      <c r="L46" s="104"/>
      <c r="M46" s="104"/>
      <c r="N46" s="104"/>
      <c r="O46" s="104" t="s">
        <v>124</v>
      </c>
      <c r="P46" s="104" t="s">
        <v>119</v>
      </c>
      <c r="Q46" s="104"/>
      <c r="R46" s="104" t="s">
        <v>136</v>
      </c>
      <c r="W46" s="9"/>
      <c r="X46" s="9"/>
      <c r="Y46" s="9"/>
      <c r="Z46" s="9"/>
    </row>
    <row r="47" spans="1:26" x14ac:dyDescent="0.3">
      <c r="A47" s="104" t="s">
        <v>122</v>
      </c>
      <c r="B47" s="104" t="s">
        <v>244</v>
      </c>
      <c r="C47" s="104" t="s">
        <v>245</v>
      </c>
      <c r="D47" s="104" t="s">
        <v>246</v>
      </c>
      <c r="E47" s="104">
        <v>-2940.06</v>
      </c>
      <c r="F47" s="104"/>
      <c r="G47" s="104"/>
      <c r="H47" s="104">
        <v>0</v>
      </c>
      <c r="I47" s="104"/>
      <c r="J47" s="104">
        <v>0</v>
      </c>
      <c r="K47" s="104">
        <v>0</v>
      </c>
      <c r="L47" s="104"/>
      <c r="M47" s="104"/>
      <c r="N47" s="104"/>
      <c r="O47" s="104" t="s">
        <v>124</v>
      </c>
      <c r="P47" s="104" t="s">
        <v>119</v>
      </c>
      <c r="Q47" s="104"/>
      <c r="R47" s="104" t="s">
        <v>247</v>
      </c>
      <c r="W47" s="9"/>
      <c r="X47" s="9"/>
      <c r="Y47" s="9"/>
      <c r="Z47" s="9"/>
    </row>
    <row r="48" spans="1:26" x14ac:dyDescent="0.3">
      <c r="A48" s="104" t="s">
        <v>122</v>
      </c>
      <c r="B48" s="104" t="s">
        <v>106</v>
      </c>
      <c r="C48" s="104" t="s">
        <v>154</v>
      </c>
      <c r="D48" s="104" t="s">
        <v>156</v>
      </c>
      <c r="E48" s="104">
        <v>293380</v>
      </c>
      <c r="F48" s="104"/>
      <c r="G48" s="104"/>
      <c r="H48" s="104"/>
      <c r="I48" s="104"/>
      <c r="J48" s="104"/>
      <c r="K48" s="104">
        <v>293380</v>
      </c>
      <c r="L48" s="104"/>
      <c r="M48" s="104"/>
      <c r="N48" s="104"/>
      <c r="O48" s="104" t="s">
        <v>155</v>
      </c>
      <c r="P48" s="104" t="s">
        <v>124</v>
      </c>
      <c r="Q48" s="104" t="s">
        <v>157</v>
      </c>
      <c r="R48" s="104" t="s">
        <v>158</v>
      </c>
      <c r="W48" s="9"/>
      <c r="X48" s="9"/>
      <c r="Y48" s="9"/>
      <c r="Z48" s="9"/>
    </row>
    <row r="49" spans="1:26" x14ac:dyDescent="0.3">
      <c r="A49" s="104" t="s">
        <v>122</v>
      </c>
      <c r="B49" s="104" t="s">
        <v>106</v>
      </c>
      <c r="C49" s="104" t="s">
        <v>219</v>
      </c>
      <c r="D49" s="104" t="s">
        <v>156</v>
      </c>
      <c r="E49" s="104">
        <v>193259</v>
      </c>
      <c r="F49" s="104"/>
      <c r="G49" s="104"/>
      <c r="H49" s="104">
        <v>193259</v>
      </c>
      <c r="I49" s="104"/>
      <c r="J49" s="104"/>
      <c r="K49" s="104"/>
      <c r="L49" s="104"/>
      <c r="M49" s="104"/>
      <c r="N49" s="104"/>
      <c r="O49" s="104" t="s">
        <v>220</v>
      </c>
      <c r="P49" s="104" t="s">
        <v>124</v>
      </c>
      <c r="Q49" s="104"/>
      <c r="R49" s="104" t="s">
        <v>221</v>
      </c>
      <c r="W49" s="9"/>
      <c r="X49" s="9"/>
      <c r="Y49" s="9"/>
      <c r="Z49" s="9"/>
    </row>
    <row r="50" spans="1:26" x14ac:dyDescent="0.3">
      <c r="A50" s="104" t="s">
        <v>122</v>
      </c>
      <c r="B50" s="104" t="s">
        <v>107</v>
      </c>
      <c r="C50" s="104" t="s">
        <v>212</v>
      </c>
      <c r="D50" s="104" t="s">
        <v>121</v>
      </c>
      <c r="E50" s="104">
        <v>-200000</v>
      </c>
      <c r="F50" s="104"/>
      <c r="G50" s="104"/>
      <c r="H50" s="104"/>
      <c r="I50" s="104"/>
      <c r="J50" s="104"/>
      <c r="K50" s="104">
        <v>-200000</v>
      </c>
      <c r="L50" s="104"/>
      <c r="M50" s="104"/>
      <c r="N50" s="104"/>
      <c r="O50" s="104" t="s">
        <v>124</v>
      </c>
      <c r="P50" s="104" t="s">
        <v>159</v>
      </c>
      <c r="Q50" s="104"/>
      <c r="R50" s="104" t="s">
        <v>160</v>
      </c>
      <c r="W50" s="9"/>
      <c r="X50" s="9"/>
      <c r="Y50" s="9"/>
      <c r="Z50" s="9"/>
    </row>
    <row r="51" spans="1:26" x14ac:dyDescent="0.3">
      <c r="A51" s="104" t="s">
        <v>122</v>
      </c>
      <c r="B51" s="104" t="s">
        <v>107</v>
      </c>
      <c r="C51" s="104" t="s">
        <v>213</v>
      </c>
      <c r="D51" s="104" t="s">
        <v>121</v>
      </c>
      <c r="E51" s="104">
        <v>-433400</v>
      </c>
      <c r="F51" s="104"/>
      <c r="G51" s="104"/>
      <c r="H51" s="104"/>
      <c r="I51" s="104"/>
      <c r="J51" s="104"/>
      <c r="K51" s="104">
        <v>-433400</v>
      </c>
      <c r="L51" s="104"/>
      <c r="M51" s="104"/>
      <c r="N51" s="104"/>
      <c r="O51" s="104" t="s">
        <v>124</v>
      </c>
      <c r="P51" s="104" t="s">
        <v>119</v>
      </c>
      <c r="Q51" s="104"/>
      <c r="R51" s="104" t="s">
        <v>214</v>
      </c>
      <c r="W51" s="9"/>
      <c r="X51" s="9"/>
      <c r="Y51" s="9"/>
      <c r="Z51" s="9"/>
    </row>
    <row r="52" spans="1:26" x14ac:dyDescent="0.3">
      <c r="A52" s="104" t="s">
        <v>122</v>
      </c>
      <c r="B52" s="104" t="s">
        <v>108</v>
      </c>
      <c r="C52" s="104" t="s">
        <v>133</v>
      </c>
      <c r="D52" s="104" t="s">
        <v>122</v>
      </c>
      <c r="E52" s="104">
        <v>450000</v>
      </c>
      <c r="F52" s="104"/>
      <c r="G52" s="104"/>
      <c r="H52" s="104"/>
      <c r="I52" s="104"/>
      <c r="J52" s="104"/>
      <c r="K52" s="104">
        <v>450000</v>
      </c>
      <c r="L52" s="104"/>
      <c r="M52" s="104"/>
      <c r="N52" s="104"/>
      <c r="O52" s="104" t="s">
        <v>119</v>
      </c>
      <c r="P52" s="104" t="s">
        <v>124</v>
      </c>
      <c r="Q52" s="104"/>
      <c r="R52" s="104" t="s">
        <v>134</v>
      </c>
      <c r="W52" s="9"/>
      <c r="X52" s="9"/>
      <c r="Y52" s="9"/>
      <c r="Z52" s="9"/>
    </row>
    <row r="53" spans="1:26" x14ac:dyDescent="0.3">
      <c r="A53" s="104" t="s">
        <v>122</v>
      </c>
      <c r="B53" s="104" t="s">
        <v>109</v>
      </c>
      <c r="C53" s="104" t="s">
        <v>123</v>
      </c>
      <c r="D53" s="104"/>
      <c r="E53" s="104">
        <v>-174000</v>
      </c>
      <c r="F53" s="104"/>
      <c r="G53" s="104"/>
      <c r="H53" s="104"/>
      <c r="I53" s="104"/>
      <c r="J53" s="104"/>
      <c r="K53" s="104">
        <v>-174000</v>
      </c>
      <c r="L53" s="104"/>
      <c r="M53" s="104"/>
      <c r="N53" s="104"/>
      <c r="O53" s="104" t="s">
        <v>124</v>
      </c>
      <c r="P53" s="104" t="s">
        <v>114</v>
      </c>
      <c r="Q53" s="104"/>
      <c r="R53" s="104" t="s">
        <v>137</v>
      </c>
      <c r="W53" s="9"/>
      <c r="X53" s="9"/>
      <c r="Y53" s="9"/>
      <c r="Z53" s="9"/>
    </row>
    <row r="54" spans="1:26" x14ac:dyDescent="0.3">
      <c r="A54" s="104" t="s">
        <v>121</v>
      </c>
      <c r="B54" s="104" t="s">
        <v>106</v>
      </c>
      <c r="C54" s="104" t="s">
        <v>215</v>
      </c>
      <c r="D54" s="104" t="s">
        <v>156</v>
      </c>
      <c r="E54" s="104">
        <v>500000</v>
      </c>
      <c r="F54" s="104"/>
      <c r="G54" s="104"/>
      <c r="H54" s="104"/>
      <c r="I54" s="104"/>
      <c r="J54" s="104"/>
      <c r="K54" s="104">
        <v>500000</v>
      </c>
      <c r="L54" s="104"/>
      <c r="M54" s="104"/>
      <c r="N54" s="104"/>
      <c r="O54" s="104" t="s">
        <v>159</v>
      </c>
      <c r="P54" s="104" t="s">
        <v>124</v>
      </c>
      <c r="Q54" s="104" t="s">
        <v>161</v>
      </c>
      <c r="R54" s="104" t="s">
        <v>162</v>
      </c>
      <c r="W54" s="9"/>
      <c r="X54" s="9"/>
      <c r="Y54" s="9"/>
      <c r="Z54" s="9"/>
    </row>
    <row r="55" spans="1:26" x14ac:dyDescent="0.3">
      <c r="A55" s="104" t="s">
        <v>121</v>
      </c>
      <c r="B55" s="104" t="s">
        <v>108</v>
      </c>
      <c r="C55" s="104" t="s">
        <v>131</v>
      </c>
      <c r="D55" s="104" t="s">
        <v>121</v>
      </c>
      <c r="E55" s="104">
        <v>969391</v>
      </c>
      <c r="F55" s="104"/>
      <c r="G55" s="104"/>
      <c r="H55" s="104"/>
      <c r="I55" s="104"/>
      <c r="J55" s="104"/>
      <c r="K55" s="104">
        <v>969391</v>
      </c>
      <c r="L55" s="104"/>
      <c r="M55" s="104"/>
      <c r="N55" s="104"/>
      <c r="O55" s="104" t="s">
        <v>53</v>
      </c>
      <c r="P55" s="104" t="s">
        <v>124</v>
      </c>
      <c r="Q55" s="104"/>
      <c r="R55" s="104" t="s">
        <v>138</v>
      </c>
      <c r="W55" s="9"/>
      <c r="X55" s="9"/>
      <c r="Y55" s="9"/>
      <c r="Z55" s="9"/>
    </row>
    <row r="56" spans="1:26" x14ac:dyDescent="0.3">
      <c r="A56" s="113" t="s">
        <v>121</v>
      </c>
      <c r="B56" s="113" t="s">
        <v>108</v>
      </c>
      <c r="C56" s="113" t="s">
        <v>212</v>
      </c>
      <c r="D56" s="113" t="s">
        <v>121</v>
      </c>
      <c r="E56" s="113">
        <v>200000</v>
      </c>
      <c r="F56" s="113"/>
      <c r="G56" s="113"/>
      <c r="H56" s="113"/>
      <c r="I56" s="113"/>
      <c r="J56" s="113"/>
      <c r="K56" s="113">
        <v>200000</v>
      </c>
      <c r="L56" s="113"/>
      <c r="M56" s="113"/>
      <c r="N56" s="113"/>
      <c r="O56" s="113" t="s">
        <v>159</v>
      </c>
      <c r="P56" s="113" t="s">
        <v>124</v>
      </c>
      <c r="Q56" s="113"/>
      <c r="R56" s="113" t="s">
        <v>160</v>
      </c>
    </row>
    <row r="57" spans="1:26" x14ac:dyDescent="0.3">
      <c r="A57" s="113" t="s">
        <v>121</v>
      </c>
      <c r="B57" s="113" t="s">
        <v>108</v>
      </c>
      <c r="C57" s="113" t="s">
        <v>213</v>
      </c>
      <c r="D57" s="113"/>
      <c r="E57" s="113">
        <v>433400</v>
      </c>
      <c r="F57" s="113"/>
      <c r="G57" s="113"/>
      <c r="H57" s="113"/>
      <c r="I57" s="113"/>
      <c r="J57" s="113"/>
      <c r="K57" s="113">
        <v>433400</v>
      </c>
      <c r="L57" s="113"/>
      <c r="M57" s="113"/>
      <c r="N57" s="113"/>
      <c r="O57" s="113" t="s">
        <v>119</v>
      </c>
      <c r="P57" s="113" t="s">
        <v>124</v>
      </c>
      <c r="Q57" s="113"/>
      <c r="R57" s="113" t="s">
        <v>214</v>
      </c>
    </row>
    <row r="58" spans="1:26" x14ac:dyDescent="0.3">
      <c r="A58" s="113" t="s">
        <v>156</v>
      </c>
      <c r="B58" s="113" t="s">
        <v>109</v>
      </c>
      <c r="C58" s="113" t="s">
        <v>154</v>
      </c>
      <c r="D58" s="113" t="s">
        <v>156</v>
      </c>
      <c r="E58" s="113">
        <v>-293380</v>
      </c>
      <c r="F58" s="113"/>
      <c r="G58" s="113"/>
      <c r="H58" s="113"/>
      <c r="I58" s="113"/>
      <c r="J58" s="113"/>
      <c r="K58" s="113">
        <v>-293380</v>
      </c>
      <c r="L58" s="113"/>
      <c r="M58" s="113"/>
      <c r="N58" s="113"/>
      <c r="O58" s="113" t="s">
        <v>124</v>
      </c>
      <c r="P58" s="113" t="s">
        <v>155</v>
      </c>
      <c r="Q58" s="113" t="s">
        <v>157</v>
      </c>
      <c r="R58" s="113" t="s">
        <v>158</v>
      </c>
    </row>
    <row r="59" spans="1:26" x14ac:dyDescent="0.3">
      <c r="A59" s="113" t="s">
        <v>156</v>
      </c>
      <c r="B59" s="113" t="s">
        <v>109</v>
      </c>
      <c r="C59" s="113" t="s">
        <v>215</v>
      </c>
      <c r="D59" s="113" t="s">
        <v>156</v>
      </c>
      <c r="E59" s="113">
        <v>-500000</v>
      </c>
      <c r="F59" s="113"/>
      <c r="G59" s="113"/>
      <c r="H59" s="113"/>
      <c r="I59" s="113"/>
      <c r="J59" s="113"/>
      <c r="K59" s="113">
        <v>-500000</v>
      </c>
      <c r="L59" s="113"/>
      <c r="M59" s="113"/>
      <c r="N59" s="113"/>
      <c r="O59" s="113" t="s">
        <v>124</v>
      </c>
      <c r="P59" s="113" t="s">
        <v>159</v>
      </c>
      <c r="Q59" s="113" t="s">
        <v>161</v>
      </c>
      <c r="R59" s="113" t="s">
        <v>162</v>
      </c>
    </row>
    <row r="60" spans="1:26" x14ac:dyDescent="0.3">
      <c r="A60" s="25" t="s">
        <v>156</v>
      </c>
      <c r="B60" s="25" t="s">
        <v>109</v>
      </c>
      <c r="C60" s="25" t="s">
        <v>219</v>
      </c>
      <c r="E60" s="25">
        <v>-193259</v>
      </c>
      <c r="H60" s="25">
        <v>-193259</v>
      </c>
      <c r="O60" s="25" t="s">
        <v>124</v>
      </c>
      <c r="P60" s="25" t="s">
        <v>220</v>
      </c>
      <c r="R60" s="25" t="s">
        <v>222</v>
      </c>
    </row>
    <row r="61" spans="1:26" x14ac:dyDescent="0.3">
      <c r="A61" s="113"/>
      <c r="B61" s="113"/>
      <c r="C61" s="113"/>
      <c r="D61" s="113"/>
      <c r="E61" s="113"/>
      <c r="F61" s="113"/>
      <c r="G61" s="113"/>
      <c r="H61" s="113"/>
      <c r="I61" s="113"/>
      <c r="J61" s="113"/>
      <c r="K61" s="113"/>
      <c r="L61" s="113"/>
      <c r="M61" s="113"/>
      <c r="N61" s="113"/>
      <c r="O61" s="113"/>
      <c r="P61" s="113"/>
      <c r="Q61" s="113"/>
      <c r="R61" s="113"/>
    </row>
    <row r="62" spans="1:26" x14ac:dyDescent="0.3">
      <c r="A62" s="115"/>
      <c r="B62" s="115"/>
      <c r="C62" s="115"/>
      <c r="D62" s="115"/>
      <c r="E62" s="115"/>
      <c r="F62" s="115"/>
      <c r="G62" s="115"/>
      <c r="H62" s="115"/>
      <c r="I62" s="115"/>
      <c r="J62" s="115"/>
      <c r="K62" s="115"/>
      <c r="L62" s="115"/>
      <c r="M62" s="115"/>
      <c r="N62" s="115"/>
      <c r="O62" s="115"/>
      <c r="P62" s="115"/>
      <c r="Q62" s="115"/>
      <c r="R62" s="115"/>
    </row>
    <row r="63" spans="1:26" x14ac:dyDescent="0.3">
      <c r="A63" s="115"/>
      <c r="B63" s="115"/>
      <c r="C63" s="115"/>
      <c r="D63" s="115"/>
      <c r="E63" s="115"/>
      <c r="F63" s="115"/>
      <c r="G63" s="115"/>
      <c r="H63" s="115"/>
      <c r="I63" s="115"/>
      <c r="J63" s="115"/>
      <c r="K63" s="115"/>
      <c r="L63" s="115"/>
      <c r="M63" s="115"/>
      <c r="N63" s="115"/>
      <c r="O63" s="115"/>
      <c r="P63" s="115"/>
      <c r="Q63" s="115"/>
      <c r="R63" s="115"/>
    </row>
    <row r="64" spans="1:26" x14ac:dyDescent="0.3">
      <c r="H64" s="25"/>
    </row>
    <row r="65" spans="1:18" x14ac:dyDescent="0.3">
      <c r="H65" s="25"/>
    </row>
    <row r="66" spans="1:18" x14ac:dyDescent="0.3">
      <c r="A66" s="116"/>
      <c r="B66" s="116"/>
      <c r="C66" s="116"/>
      <c r="D66" s="116"/>
      <c r="E66" s="116"/>
      <c r="F66" s="116"/>
      <c r="G66" s="116"/>
      <c r="H66" s="116"/>
      <c r="I66" s="116"/>
      <c r="J66" s="116"/>
      <c r="K66" s="116"/>
      <c r="L66" s="116"/>
      <c r="M66" s="116"/>
      <c r="N66" s="116"/>
      <c r="O66" s="116"/>
      <c r="P66" s="116"/>
      <c r="Q66" s="116"/>
      <c r="R66" s="116"/>
    </row>
  </sheetData>
  <mergeCells count="5">
    <mergeCell ref="A1:F1"/>
    <mergeCell ref="A3:F3"/>
    <mergeCell ref="A9:G9"/>
    <mergeCell ref="A37:G37"/>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election activeCell="B18" sqref="B18"/>
    </sheetView>
  </sheetViews>
  <sheetFormatPr defaultRowHeight="14.4" x14ac:dyDescent="0.3"/>
  <cols>
    <col min="1" max="1" width="9.109375" style="1"/>
    <col min="2" max="2" width="20.6640625" customWidth="1"/>
    <col min="3" max="3" width="37.44140625" customWidth="1"/>
    <col min="4" max="4" width="15.6640625" customWidth="1"/>
    <col min="5" max="5" width="18.33203125" customWidth="1"/>
  </cols>
  <sheetData>
    <row r="1" spans="1:5" x14ac:dyDescent="0.35">
      <c r="A1" s="4" t="s">
        <v>13</v>
      </c>
      <c r="B1" s="196" t="s">
        <v>14</v>
      </c>
      <c r="C1" s="196"/>
      <c r="D1" s="196"/>
      <c r="E1" s="196"/>
    </row>
    <row r="2" spans="1:5" ht="81.75" customHeight="1" x14ac:dyDescent="0.35">
      <c r="A2" s="1">
        <v>1</v>
      </c>
      <c r="B2" s="195" t="s">
        <v>16</v>
      </c>
      <c r="C2" s="195"/>
      <c r="D2" s="195"/>
      <c r="E2" s="195"/>
    </row>
    <row r="3" spans="1:5" x14ac:dyDescent="0.35">
      <c r="B3" s="3"/>
      <c r="C3" s="3"/>
      <c r="D3" s="3"/>
      <c r="E3" s="3"/>
    </row>
    <row r="4" spans="1:5" ht="33" customHeight="1" x14ac:dyDescent="0.35">
      <c r="A4" s="1">
        <v>2</v>
      </c>
      <c r="B4" s="195" t="s">
        <v>17</v>
      </c>
      <c r="C4" s="195"/>
      <c r="D4" s="195"/>
      <c r="E4" s="195"/>
    </row>
    <row r="5" spans="1:5" x14ac:dyDescent="0.35">
      <c r="B5" s="3"/>
      <c r="C5" s="3"/>
      <c r="D5" s="3"/>
      <c r="E5" s="3"/>
    </row>
    <row r="6" spans="1:5" s="17" customFormat="1" ht="114" customHeight="1" x14ac:dyDescent="0.35">
      <c r="A6" s="18">
        <v>3</v>
      </c>
      <c r="B6" s="200" t="s">
        <v>81</v>
      </c>
      <c r="C6" s="200"/>
      <c r="D6" s="200"/>
      <c r="E6" s="200"/>
    </row>
    <row r="7" spans="1:5" s="17" customFormat="1" x14ac:dyDescent="0.35">
      <c r="A7" s="18"/>
      <c r="B7" s="19"/>
      <c r="C7" s="19"/>
      <c r="D7" s="19"/>
      <c r="E7" s="19"/>
    </row>
    <row r="8" spans="1:5" ht="18" customHeight="1" x14ac:dyDescent="0.35">
      <c r="A8" s="1">
        <v>4</v>
      </c>
      <c r="B8" s="199" t="s">
        <v>69</v>
      </c>
      <c r="C8" s="199"/>
      <c r="D8" s="8"/>
      <c r="E8" s="8"/>
    </row>
    <row r="9" spans="1:5" ht="18" customHeight="1" x14ac:dyDescent="0.25">
      <c r="B9" s="198" t="s">
        <v>70</v>
      </c>
      <c r="C9" s="198"/>
      <c r="D9" s="13">
        <v>125000</v>
      </c>
    </row>
    <row r="10" spans="1:5" ht="18" customHeight="1" x14ac:dyDescent="0.25">
      <c r="B10" s="195" t="s">
        <v>72</v>
      </c>
      <c r="C10" s="195"/>
      <c r="D10" s="12">
        <v>0</v>
      </c>
    </row>
    <row r="11" spans="1:5" ht="18" customHeight="1" x14ac:dyDescent="0.3">
      <c r="B11" s="198" t="s">
        <v>68</v>
      </c>
      <c r="C11" s="198"/>
      <c r="D11" s="14">
        <f>+D9+D10</f>
        <v>125000</v>
      </c>
    </row>
    <row r="12" spans="1:5" ht="31.5" customHeight="1" x14ac:dyDescent="0.3">
      <c r="B12" s="195" t="s">
        <v>97</v>
      </c>
      <c r="C12" s="195"/>
      <c r="D12" s="11">
        <v>31250</v>
      </c>
    </row>
    <row r="13" spans="1:5" ht="36.75" customHeight="1" x14ac:dyDescent="0.3">
      <c r="B13" s="198" t="s">
        <v>73</v>
      </c>
      <c r="C13" s="198"/>
      <c r="D13" s="15">
        <f>SUM(D11:D12)</f>
        <v>156250</v>
      </c>
    </row>
    <row r="14" spans="1:5" s="17" customFormat="1" ht="18" customHeight="1" x14ac:dyDescent="0.3">
      <c r="A14" s="18"/>
      <c r="B14" s="22"/>
      <c r="C14" s="22"/>
      <c r="D14" s="23"/>
    </row>
    <row r="15" spans="1:5" s="17" customFormat="1" ht="84.75" customHeight="1" x14ac:dyDescent="0.3">
      <c r="A15" s="1">
        <v>5</v>
      </c>
      <c r="B15" s="197" t="s">
        <v>71</v>
      </c>
      <c r="C15" s="197"/>
      <c r="D15" s="197"/>
      <c r="E15" s="197"/>
    </row>
    <row r="16" spans="1:5" x14ac:dyDescent="0.3">
      <c r="B16" s="3"/>
      <c r="C16" s="3"/>
      <c r="D16" s="3"/>
      <c r="E16" s="3"/>
    </row>
    <row r="17" spans="1:5" ht="83.25" customHeight="1" x14ac:dyDescent="0.3">
      <c r="A17" s="1">
        <v>6</v>
      </c>
      <c r="B17" s="195" t="s">
        <v>176</v>
      </c>
      <c r="C17" s="195"/>
      <c r="D17" s="195"/>
      <c r="E17" s="195"/>
    </row>
    <row r="18" spans="1:5" x14ac:dyDescent="0.3">
      <c r="B18" s="10"/>
      <c r="C18" s="10"/>
      <c r="D18" s="10"/>
      <c r="E18" s="10"/>
    </row>
    <row r="19" spans="1:5" ht="33" customHeight="1" x14ac:dyDescent="0.3">
      <c r="A19" s="1">
        <v>7</v>
      </c>
      <c r="B19" s="195" t="s">
        <v>39</v>
      </c>
      <c r="C19" s="195"/>
      <c r="D19" s="195"/>
      <c r="E19" s="195"/>
    </row>
    <row r="20" spans="1:5" ht="14.25" customHeight="1" x14ac:dyDescent="0.3">
      <c r="B20" s="7"/>
      <c r="C20" s="7"/>
      <c r="D20" s="7"/>
      <c r="E20" s="7"/>
    </row>
    <row r="21" spans="1:5" ht="47.25" customHeight="1" x14ac:dyDescent="0.3">
      <c r="A21" s="1">
        <v>8</v>
      </c>
      <c r="B21" s="195" t="s">
        <v>40</v>
      </c>
      <c r="C21" s="195"/>
      <c r="D21" s="195"/>
      <c r="E21" s="195"/>
    </row>
    <row r="22" spans="1:5" ht="15" customHeight="1" x14ac:dyDescent="0.3">
      <c r="B22" s="7"/>
      <c r="C22" s="7"/>
      <c r="D22" s="7"/>
      <c r="E22" s="7"/>
    </row>
    <row r="23" spans="1:5" ht="32.25" customHeight="1" x14ac:dyDescent="0.3">
      <c r="A23" s="1">
        <v>9</v>
      </c>
      <c r="B23" s="195" t="s">
        <v>38</v>
      </c>
      <c r="C23" s="195"/>
      <c r="D23" s="195"/>
      <c r="E23" s="195"/>
    </row>
    <row r="24" spans="1:5" ht="15" customHeight="1" x14ac:dyDescent="0.3">
      <c r="B24" s="7"/>
      <c r="C24" s="7"/>
      <c r="D24" s="7"/>
      <c r="E24" s="7"/>
    </row>
    <row r="25" spans="1:5" ht="33" customHeight="1" x14ac:dyDescent="0.3">
      <c r="A25" s="1">
        <v>10</v>
      </c>
      <c r="B25" s="195" t="s">
        <v>41</v>
      </c>
      <c r="C25" s="195"/>
      <c r="D25" s="195"/>
      <c r="E25" s="195"/>
    </row>
    <row r="26" spans="1:5" x14ac:dyDescent="0.3">
      <c r="B26" s="3"/>
      <c r="C26" s="3"/>
      <c r="D26" s="3"/>
      <c r="E26" s="3"/>
    </row>
    <row r="27" spans="1:5" ht="30" customHeight="1" x14ac:dyDescent="0.3">
      <c r="A27" s="1">
        <v>11</v>
      </c>
      <c r="B27" s="195" t="s">
        <v>42</v>
      </c>
      <c r="C27" s="195"/>
      <c r="D27" s="195"/>
      <c r="E27" s="195"/>
    </row>
    <row r="28" spans="1:5" x14ac:dyDescent="0.3">
      <c r="B28" s="3"/>
      <c r="C28" s="3"/>
      <c r="D28" s="3"/>
      <c r="E28" s="3"/>
    </row>
    <row r="29" spans="1:5" ht="31.5" customHeight="1" x14ac:dyDescent="0.3">
      <c r="A29" s="1">
        <v>12</v>
      </c>
      <c r="B29" s="195" t="s">
        <v>43</v>
      </c>
      <c r="C29" s="195"/>
      <c r="D29" s="195"/>
      <c r="E29" s="195"/>
    </row>
    <row r="30" spans="1:5" x14ac:dyDescent="0.3">
      <c r="B30" s="7"/>
      <c r="C30" s="7"/>
      <c r="D30" s="7"/>
      <c r="E30" s="7"/>
    </row>
    <row r="31" spans="1:5" ht="34.5" customHeight="1" x14ac:dyDescent="0.3">
      <c r="A31" s="1">
        <v>13</v>
      </c>
      <c r="B31" s="195" t="s">
        <v>18</v>
      </c>
      <c r="C31" s="195"/>
      <c r="D31" s="195"/>
      <c r="E31" s="195"/>
    </row>
    <row r="32" spans="1:5" ht="16.5" customHeight="1" x14ac:dyDescent="0.3">
      <c r="B32" s="3"/>
      <c r="C32" s="3"/>
      <c r="D32" s="3"/>
      <c r="E32" s="3"/>
    </row>
    <row r="33" spans="1:5" ht="64.5" customHeight="1" x14ac:dyDescent="0.3">
      <c r="A33" s="1">
        <v>14</v>
      </c>
      <c r="B33" s="195" t="s">
        <v>19</v>
      </c>
      <c r="C33" s="195"/>
      <c r="D33" s="195"/>
      <c r="E33" s="195"/>
    </row>
    <row r="34" spans="1:5" ht="14.25" customHeight="1" x14ac:dyDescent="0.3">
      <c r="B34" s="3"/>
      <c r="C34" s="3"/>
      <c r="D34" s="3"/>
      <c r="E34" s="3"/>
    </row>
    <row r="35" spans="1:5" x14ac:dyDescent="0.3">
      <c r="A35" s="1">
        <v>15</v>
      </c>
      <c r="B35" s="199" t="s">
        <v>34</v>
      </c>
      <c r="C35" s="199"/>
      <c r="D35" s="199"/>
      <c r="E35" s="199"/>
    </row>
    <row r="36" spans="1:5" x14ac:dyDescent="0.3">
      <c r="B36" s="16" t="s">
        <v>7</v>
      </c>
      <c r="C36" s="193" t="s">
        <v>20</v>
      </c>
      <c r="D36" s="193"/>
      <c r="E36" s="193"/>
    </row>
    <row r="37" spans="1:5" x14ac:dyDescent="0.3">
      <c r="B37" s="5" t="s">
        <v>21</v>
      </c>
      <c r="C37" s="194" t="s">
        <v>28</v>
      </c>
      <c r="D37" s="194"/>
      <c r="E37" s="194"/>
    </row>
    <row r="38" spans="1:5" x14ac:dyDescent="0.3">
      <c r="B38" s="16" t="s">
        <v>22</v>
      </c>
      <c r="C38" s="193" t="s">
        <v>29</v>
      </c>
      <c r="D38" s="193"/>
      <c r="E38" s="193"/>
    </row>
    <row r="39" spans="1:5" x14ac:dyDescent="0.3">
      <c r="B39" s="5" t="s">
        <v>23</v>
      </c>
      <c r="C39" s="194" t="s">
        <v>32</v>
      </c>
      <c r="D39" s="194"/>
      <c r="E39" s="194"/>
    </row>
    <row r="40" spans="1:5" x14ac:dyDescent="0.3">
      <c r="B40" s="16" t="s">
        <v>9</v>
      </c>
      <c r="C40" s="193" t="s">
        <v>30</v>
      </c>
      <c r="D40" s="193"/>
      <c r="E40" s="193"/>
    </row>
    <row r="41" spans="1:5" x14ac:dyDescent="0.3">
      <c r="B41" s="5" t="s">
        <v>8</v>
      </c>
      <c r="C41" s="194" t="s">
        <v>24</v>
      </c>
      <c r="D41" s="194"/>
      <c r="E41" s="194"/>
    </row>
    <row r="42" spans="1:5" x14ac:dyDescent="0.3">
      <c r="B42" s="16" t="s">
        <v>25</v>
      </c>
      <c r="C42" s="193" t="s">
        <v>26</v>
      </c>
      <c r="D42" s="193"/>
      <c r="E42" s="193"/>
    </row>
    <row r="43" spans="1:5" x14ac:dyDescent="0.3">
      <c r="B43" s="5" t="s">
        <v>27</v>
      </c>
      <c r="C43" s="194" t="s">
        <v>31</v>
      </c>
      <c r="D43" s="194"/>
      <c r="E43" s="194"/>
    </row>
    <row r="44" spans="1:5" s="17" customFormat="1" x14ac:dyDescent="0.3">
      <c r="A44" s="18"/>
      <c r="B44" s="20"/>
      <c r="C44" s="21"/>
      <c r="D44" s="21"/>
      <c r="E44" s="21"/>
    </row>
    <row r="45" spans="1:5" s="17" customFormat="1" x14ac:dyDescent="0.3">
      <c r="A45" s="18">
        <v>16</v>
      </c>
      <c r="B45" s="24" t="s">
        <v>82</v>
      </c>
      <c r="C45" s="21"/>
      <c r="D45" s="21"/>
      <c r="E45" s="21"/>
    </row>
    <row r="46" spans="1:5" s="17" customFormat="1" ht="30" customHeight="1" x14ac:dyDescent="0.3">
      <c r="A46" s="18"/>
      <c r="B46" s="16" t="s">
        <v>58</v>
      </c>
      <c r="C46" s="193" t="s">
        <v>84</v>
      </c>
      <c r="D46" s="193"/>
      <c r="E46" s="193"/>
    </row>
    <row r="47" spans="1:5" s="17" customFormat="1" x14ac:dyDescent="0.3">
      <c r="A47" s="18"/>
      <c r="B47" s="20" t="s">
        <v>59</v>
      </c>
      <c r="C47" s="194" t="s">
        <v>83</v>
      </c>
      <c r="D47" s="194"/>
      <c r="E47" s="194"/>
    </row>
    <row r="48" spans="1:5" s="17" customFormat="1" ht="48.75" customHeight="1" x14ac:dyDescent="0.3">
      <c r="A48" s="18"/>
      <c r="B48" s="16" t="s">
        <v>60</v>
      </c>
      <c r="C48" s="193" t="s">
        <v>86</v>
      </c>
      <c r="D48" s="193"/>
      <c r="E48" s="193"/>
    </row>
    <row r="49" spans="1:5" s="17" customFormat="1" ht="29.25" customHeight="1" x14ac:dyDescent="0.3">
      <c r="A49" s="18"/>
      <c r="B49" s="20" t="s">
        <v>61</v>
      </c>
      <c r="C49" s="194" t="s">
        <v>85</v>
      </c>
      <c r="D49" s="194"/>
      <c r="E49" s="194"/>
    </row>
    <row r="50" spans="1:5" x14ac:dyDescent="0.3">
      <c r="B50" s="5"/>
      <c r="C50" s="6"/>
      <c r="D50" s="6"/>
      <c r="E50" s="6"/>
    </row>
    <row r="51" spans="1:5" ht="94.5" customHeight="1" x14ac:dyDescent="0.3">
      <c r="A51" s="1">
        <v>17</v>
      </c>
      <c r="B51" s="202" t="s">
        <v>33</v>
      </c>
      <c r="C51" s="202"/>
      <c r="D51" s="202"/>
      <c r="E51" s="202"/>
    </row>
    <row r="53" spans="1:5" x14ac:dyDescent="0.3">
      <c r="B53" s="2"/>
    </row>
    <row r="54" spans="1:5" x14ac:dyDescent="0.3">
      <c r="A54" s="201" t="s">
        <v>35</v>
      </c>
      <c r="B54" s="201"/>
      <c r="C54" s="201"/>
      <c r="D54" s="201"/>
      <c r="E54" s="201"/>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2014-03-14T19:55:20Z</cp:lastPrinted>
  <dcterms:created xsi:type="dcterms:W3CDTF">2013-05-11T20:19:37Z</dcterms:created>
  <dcterms:modified xsi:type="dcterms:W3CDTF">2015-06-30T16:52:54Z</dcterms:modified>
</cp:coreProperties>
</file>