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9200" windowHeight="7872"/>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Transactions'!$A$1:$S$53</definedName>
    <definedName name="Query_from_MS_Access_Database" localSheetId="1" hidden="1">'Regional Loans and Transfers'!$A$11:$R$45</definedName>
    <definedName name="Query_from_MS_Access_Database_1" localSheetId="0" hidden="1">'Federal Funds Transactions'!$A$15:$P$24</definedName>
    <definedName name="Query_from_MS_Access_Database_1" localSheetId="1" hidden="1">'Regional Loans and Transfers'!$A$51:$R$86</definedName>
    <definedName name="Query_from_MS_Access_Database_2" localSheetId="0" hidden="1">'Federal Funds Transactions'!$A$29:$P$30</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R30" i="1" l="1"/>
  <c r="I30" i="1"/>
  <c r="Q30" i="1"/>
  <c r="R16" i="1"/>
  <c r="R17" i="1"/>
  <c r="R18" i="1" s="1"/>
  <c r="R19" i="1" s="1"/>
  <c r="R20" i="1" s="1"/>
  <c r="R21" i="1" s="1"/>
  <c r="R22" i="1" s="1"/>
  <c r="R23" i="1" s="1"/>
  <c r="R24" i="1" s="1"/>
  <c r="Q16" i="1"/>
  <c r="Q17" i="1"/>
  <c r="Q18" i="1"/>
  <c r="Q19" i="1"/>
  <c r="Q20" i="1"/>
  <c r="Q21" i="1"/>
  <c r="Q22" i="1"/>
  <c r="Q23" i="1"/>
  <c r="Q24" i="1"/>
  <c r="N38" i="1" l="1"/>
  <c r="R38" i="1" l="1"/>
  <c r="P38" i="1"/>
  <c r="O38" i="1"/>
  <c r="R11" i="1"/>
  <c r="P11" i="1"/>
  <c r="O11" i="1"/>
  <c r="N11" i="1"/>
  <c r="R10" i="1"/>
  <c r="P10" i="1"/>
  <c r="O10" i="1"/>
  <c r="N10" i="1"/>
  <c r="R9" i="1"/>
  <c r="P9" i="1"/>
  <c r="O9" i="1"/>
  <c r="N9" i="1"/>
  <c r="R8" i="1"/>
  <c r="P8" i="1"/>
  <c r="O8" i="1"/>
  <c r="N8" i="1"/>
  <c r="R7" i="1"/>
  <c r="P7" i="1"/>
  <c r="O7" i="1"/>
  <c r="N7" i="1"/>
  <c r="R6" i="1"/>
  <c r="P6" i="1"/>
  <c r="O6" i="1"/>
  <c r="N6" i="1"/>
  <c r="P5" i="1"/>
  <c r="O5" i="1"/>
  <c r="D13" i="2"/>
  <c r="D11" i="2"/>
  <c r="Q4" i="1"/>
  <c r="Q5" i="1" l="1"/>
  <c r="R5" i="1" s="1"/>
  <c r="Q38" i="1" l="1"/>
  <c r="B5" i="3"/>
  <c r="Q31" i="1" l="1"/>
  <c r="A7" i="3"/>
  <c r="O31" i="1" l="1"/>
  <c r="P31" i="1"/>
  <c r="N31" i="1"/>
  <c r="O25" i="1"/>
  <c r="P25" i="1"/>
  <c r="N25" i="1"/>
  <c r="Q7" i="1" l="1"/>
  <c r="Q8" i="1"/>
  <c r="Q9" i="1"/>
  <c r="Q10" i="1"/>
  <c r="Q11" i="1"/>
  <c r="Q25" i="1" l="1"/>
  <c r="O12" i="1" l="1"/>
  <c r="O26" i="1" s="1"/>
  <c r="O32" i="1" s="1"/>
  <c r="O37" i="1" s="1"/>
  <c r="O39" i="1" s="1"/>
  <c r="R39" i="1" s="1"/>
  <c r="Q6" i="1" l="1"/>
  <c r="A1" i="3" l="1"/>
  <c r="N12" i="1" l="1"/>
  <c r="N26" i="1" s="1"/>
  <c r="N32" i="1" s="1"/>
  <c r="N37" i="1" s="1"/>
  <c r="N39" i="1" s="1"/>
  <c r="N40" i="1" l="1"/>
  <c r="P12" i="1"/>
  <c r="Q12" i="1" l="1"/>
  <c r="Q26" i="1" s="1"/>
  <c r="Q32" i="1" s="1"/>
  <c r="P26" i="1"/>
  <c r="P32" i="1" s="1"/>
  <c r="P37" i="1" s="1"/>
  <c r="P39" i="1" s="1"/>
  <c r="R12" i="1"/>
  <c r="R37" i="1" l="1"/>
  <c r="P40" i="1"/>
  <c r="Q37" i="1"/>
  <c r="Q39" i="1" s="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08-WACOG LEDGER`.`ADOT#`, `08-WACOG LEDGER`.`TIP#`, `08-WACOG LEDGER`.Sponsor, `08-WACOG LEDGER`.`Action/15`, `08-WACOG LEDGER`.Location, `08-WACOG LEDGER`.RTE, `08-WACOG LEDGER`.SEC, `08-WACOG LEDGER`.SEQ, `08-WACOG LEDGER`.`PB Expected`, `08-WACOG LEDGER`.`PB Received`, `08-WACOG LEDGER`.`PF Transmitted`, `08-WACOG LEDGER`.`Finance Authorization`, `08-WACOG LEDGER`.HSIP, `08-WACOG LEDGER`.SPR, `08-WACOG LEDGER`.`STP OTHER`_x000d__x000a_FROM `G:\FMS\RESOURCE\ACCESS\010614 PBPF\011614 PBPF front.accdb`.`08-WACOG LEDGER` `08-WACOG LEDGER`_x000d__x000a_WHERE (`08-WACOG LEDGER`.`ADOT#`&lt;&gt;'Trick') AND (`08-WACOG LEDGER`.`Finance Authorization`&gt;=#10/1/2014# AND `08-WACOG LEDGER`.`Finance Authorization`&lt;=#9/30/2015#)_x000d__x000a_ORDER BY `08-WACOG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08-WACOGqryLedgerApportsCrosstab`.`Transaction Year`, `08-WACOGqryLedgerApportsCrosstab`.`Transaction Type`, `08-WACOGqryLedgerApportsCrosstab`.Number, `08-WACOGqryLedgerApportsCrosstab`.`From`, `08-WACOGqryLedgerApportsCrosstab`.To, `08-WACOGqryLedgerApportsCrosstab`.`Repayment Year`, `08-WACOGqryLedgerApportsCrosstab`.Project8, `08-WACOGqryLedgerApportsCrosstab`.Notes, `08-WACOGqryLedgerApportsCrosstab`.Total, `08-WACOGqryLedgerApportsCrosstab`.CMAQ, `08-WACOGqryLedgerApportsCrosstab`.`CMAQ 2_5`, `08-WACOGqryLedgerApportsCrosstab`.HSIP, `08-WACOGqryLedgerApportsCrosstab`.PL, `08-WACOGqryLedgerApportsCrosstab`.SPR, `08-WACOGqryLedgerApportsCrosstab`.`STP other`, `08-WACOGqryLedgerApportsCrosstab`.`STP over 200K`, `08-WACOGqryLedgerApportsCrosstab`.`TA other`, `08-WACOGqryLedgerApportsCrosstab`.`TA over 200K`_x000d__x000a_FROM `G:\FMS\RESOURCE\ACCESS\010614 PBPF\011614 PBPF front.accdb`.`08-WACOGqryLedgerApportsCrosstab` `08-WACOGqryLedgerApportsCrosstab`_x000d__x000a_WHERE (`08-WACOG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08-WACOGqryLedgerOACrosstab`.`Transaction Year`, `08-WACOGqryLedgerOACrosstab`.`Transaction Type`, `08-WACOGqryLedgerOACrosstab`.Number, `08-WACOGqryLedgerOACrosstab`.`From`, `08-WACOGqryLedgerOACrosstab`.To, `08-WACOGqryLedgerOACrosstab`.`Repayment Year`, `08-WACOGqryLedgerOACrosstab`.Project8, `08-WACOGqryLedgerOACrosstab`.Notes, `08-WACOGqryLedgerOACrosstab`.Total, `08-WACOGqryLedgerOACrosstab`.CMAQ, `08-WACOGqryLedgerOACrosstab`.`CMAQ 2_5`, `08-WACOGqryLedgerOACrosstab`.HSIP, `08-WACOGqryLedgerOACrosstab`.PL, `08-WACOGqryLedgerOACrosstab`.SPR, `08-WACOGqryLedgerOACrosstab`.`STP other`, `08-WACOGqryLedgerOACrosstab`.`STP over 200K`, `08-WACOGqryLedgerOACrosstab`.`TA other`, `08-WACOGqryLedgerOACrosstab`.`TA over 200K`_x000d__x000a_FROM `G:\FMS\RESOURCE\ACCESS\010614 PBPF\011614 PBPF front.accdb`.`08-WACOGqryLedgerOACrosstab` `08-WACOGqryLedgerOACrosstab`_x000d__x000a_WHERE (`08-WACOG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08-WACOG LEDGER`.`ADOT#`, `08-WACOG LEDGER`.`TIP#`, `08-WACOG LEDGER`.Sponsor, `08-WACOG LEDGER`.`Action/15`, `08-WACOG LEDGER`.Location, `08-WACOG LEDGER`.RTE, `08-WACOG LEDGER`.SEC, `08-WACOG LEDGER`.SEQ, `08-WACOG LEDGER`.`PB Expected`, `08-WACOG LEDGER`.`PB Received`, `08-WACOG LEDGER`.`PF Transmitted`, `08-WACOG LEDGER`.`Finance Authorization`, `08-WACOG LEDGER`.HSIP, `08-WACOG LEDGER`.SPR, `08-WACOG LEDGER`.`STP OTHER`_x000d__x000a_FROM `G:\FMS\RESOURCE\ACCESS\010614 PBPF\011614 PBPF front.accdb`.`08-WACOG LEDGER` `08-WACOG LEDGER`_x000d__x000a_WHERE (`08-WACOG LEDGER`.`ADOT#` Not Like 'Trick') AND (`08-WACOG LEDGER`.`Finance Authorization` Is Null) AND ((`08-WACOG LEDGER`.`PB Expected`&gt;=#10/1/2014# and `PB Expected`&lt;=#9/30/2015#) OR (`08-WACOG LEDGER`.`PB Received`&gt;=#10/1/2014# and `PB Received`&lt;=#9/30/2015#) OR (`08-WACOG LEDGER`.`PF Transmitted`&gt;=#10/1/2014# and `PF Transmitted`&lt;=#9/30/2015#))_x000d__x000a_ORDER BY `08-WACOG LEDGER`.`ADOT#`"/>
  </connection>
</connections>
</file>

<file path=xl/sharedStrings.xml><?xml version="1.0" encoding="utf-8"?>
<sst xmlns="http://schemas.openxmlformats.org/spreadsheetml/2006/main" count="730" uniqueCount="239">
  <si>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</si>
  <si>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</si>
  <si>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</si>
  <si>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</si>
  <si>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</si>
  <si>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</si>
  <si>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</si>
  <si>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</si>
  <si>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</si>
  <si>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</si>
  <si>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</si>
  <si>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</si>
  <si>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</si>
  <si>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</si>
  <si>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</si>
  <si>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</si>
  <si>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</si>
  <si>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</si>
  <si>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</si>
  <si>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</si>
  <si>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</si>
  <si>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</si>
  <si>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</si>
  <si>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</si>
  <si>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</si>
  <si>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</si>
  <si>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</si>
  <si>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</si>
  <si>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</si>
  <si>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</si>
  <si>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</si>
  <si>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</si>
  <si>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</si>
  <si>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r>
      <t xml:space="preserve">LAPSING FUNDS:  </t>
    </r>
    <r>
      <rPr>
        <sz val="11"/>
        <rFont val="Calibri"/>
        <family val="2"/>
        <scheme val="minor"/>
      </rPr>
      <t xml:space="preserve">Carried forward apportionments and obligation authority lapse pursuant to the following schedule:
</t>
    </r>
    <r>
      <rPr>
        <sz val="8"/>
        <rFont val="Wingdings"/>
        <charset val="2"/>
      </rPr>
      <t>t</t>
    </r>
    <r>
      <rPr>
        <sz val="11"/>
        <rFont val="Calibri"/>
        <family val="2"/>
        <scheme val="minor"/>
      </rPr>
      <t xml:space="preserve">   Carried forward from FFY 11 and earlier - lapses 6/30/13
</t>
    </r>
    <r>
      <rPr>
        <sz val="8"/>
        <rFont val="Wingdings"/>
        <charset val="2"/>
      </rPr>
      <t>t</t>
    </r>
    <r>
      <rPr>
        <sz val="11"/>
        <rFont val="Calibri"/>
        <family val="2"/>
        <scheme val="minor"/>
      </rPr>
      <t xml:space="preserve">   FFY 12 funds - lapses 6/30/13
</t>
    </r>
    <r>
      <rPr>
        <sz val="8"/>
        <rFont val="Wingdings"/>
        <charset val="2"/>
      </rPr>
      <t>t</t>
    </r>
    <r>
      <rPr>
        <sz val="11"/>
        <rFont val="Calibri"/>
        <family val="2"/>
        <scheme val="minor"/>
      </rPr>
      <t xml:space="preserve">   FFY 13 funds - lapses 6/30/14
</t>
    </r>
    <r>
      <rPr>
        <sz val="8"/>
        <rFont val="Wingdings"/>
        <charset val="2"/>
      </rPr>
      <t xml:space="preserve">t </t>
    </r>
    <r>
      <rPr>
        <sz val="11"/>
        <rFont val="Calibri"/>
        <family val="2"/>
        <scheme val="minor"/>
      </rPr>
      <t xml:space="preserve">Funds from FFY 14 and thereafter - lapse annually on 6/30 of the year of allocation
</t>
    </r>
  </si>
  <si>
    <t xml:space="preserve">Action types: </t>
  </si>
  <si>
    <t>Please direct questions regarding federal funding ledgers to ADOT Financial Management Services at 602-712-7441.</t>
  </si>
  <si>
    <t>2013</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</si>
  <si>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</si>
  <si>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</si>
  <si>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</si>
  <si>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</si>
  <si>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</si>
  <si>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</si>
  <si>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</si>
  <si>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CMAQ</t>
  </si>
  <si>
    <t>CMAQ 2_5</t>
  </si>
  <si>
    <t>PL</t>
  </si>
  <si>
    <t>STP over 200K</t>
  </si>
  <si>
    <t>TA other</t>
  </si>
  <si>
    <t>TA over 200K</t>
  </si>
  <si>
    <t>Transaction Year</t>
  </si>
  <si>
    <t>Transaction Type</t>
  </si>
  <si>
    <t>Repayment Year</t>
  </si>
  <si>
    <t>Transfer Out</t>
  </si>
  <si>
    <t>RTE</t>
  </si>
  <si>
    <t>SEC</t>
  </si>
  <si>
    <t>SEQ</t>
  </si>
  <si>
    <t>PB Expected</t>
  </si>
  <si>
    <t>PB Received</t>
  </si>
  <si>
    <t>PF Transmitted</t>
  </si>
  <si>
    <t>Finance Authorization</t>
  </si>
  <si>
    <t>STP OTHER</t>
  </si>
  <si>
    <t>FED #</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</si>
  <si>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</si>
  <si>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</si>
  <si>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</si>
  <si>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</si>
  <si>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</si>
  <si>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</si>
  <si>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STP</t>
  </si>
  <si>
    <t>OA</t>
  </si>
  <si>
    <t>HSIP/3</t>
  </si>
  <si>
    <t>AUTHORIZED FINANCE ACTIONS /14</t>
  </si>
  <si>
    <t>/ 6</t>
  </si>
  <si>
    <t>Processing Status /16</t>
  </si>
  <si>
    <r>
      <t xml:space="preserve">Available HSIP funding should be programmed </t>
    </r>
    <r>
      <rPr>
        <b/>
        <i/>
        <sz val="11"/>
        <color theme="1"/>
        <rFont val="Calibri"/>
        <family val="2"/>
        <scheme val="minor"/>
      </rPr>
      <t>only</t>
    </r>
    <r>
      <rPr>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</si>
  <si>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</si>
  <si>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</si>
  <si>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</si>
  <si>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</si>
  <si>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</si>
  <si>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</si>
  <si>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</si>
  <si>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</si>
  <si>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</si>
  <si>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</si>
  <si>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</si>
  <si>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</si>
  <si>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</si>
  <si>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</si>
  <si>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</si>
  <si>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</si>
  <si>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</si>
  <si>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</si>
  <si>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</si>
  <si>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</si>
  <si>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</si>
  <si>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TOTAL OF  AMOUNT</t>
  </si>
  <si>
    <t>DECLINGING BALANCE OA</t>
  </si>
  <si>
    <t>Loan In</t>
  </si>
  <si>
    <t>Loan Out</t>
  </si>
  <si>
    <t>Repayment In</t>
  </si>
  <si>
    <t>Repayment Out</t>
  </si>
  <si>
    <t>Transfer In</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</si>
  <si>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</si>
  <si>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</si>
  <si>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</si>
  <si>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r>
      <t xml:space="preserve">FFY Total Available 
</t>
    </r>
    <r>
      <rPr>
        <b/>
        <sz val="9"/>
        <color rgb="FFFF0000"/>
        <rFont val="Arial Unicode MS"/>
        <family val="2"/>
      </rPr>
      <t xml:space="preserve">**LAPSES ON 6/30** </t>
    </r>
    <r>
      <rPr>
        <sz val="9"/>
        <rFont val="Arial Unicode MS"/>
        <family val="2"/>
      </rPr>
      <t>/13</t>
    </r>
  </si>
  <si>
    <t>NACOG</t>
  </si>
  <si>
    <t>From</t>
  </si>
  <si>
    <t>To</t>
  </si>
  <si>
    <t>Project8</t>
  </si>
  <si>
    <t>Notes</t>
  </si>
  <si>
    <t>ADOT</t>
  </si>
  <si>
    <t>2012</t>
  </si>
  <si>
    <t>NACOG005</t>
  </si>
  <si>
    <t>WACOG</t>
  </si>
  <si>
    <t>2015</t>
  </si>
  <si>
    <t>2014</t>
  </si>
  <si>
    <t>Western Arizona Council of Goverments</t>
  </si>
  <si>
    <t>2012 STP loan from WACOG</t>
  </si>
  <si>
    <t>WACOG003</t>
  </si>
  <si>
    <t>MM0 14D-103</t>
  </si>
  <si>
    <t>HSIP loan to ADOT</t>
  </si>
  <si>
    <t>WACOG004</t>
  </si>
  <si>
    <t>HSIP TRANSFER FROM WACAG TO ADOT</t>
  </si>
  <si>
    <t>WACOG001</t>
  </si>
  <si>
    <t>plug -HSIP loan to ADOT</t>
  </si>
  <si>
    <t>plug-HSIP loan repayment from ADOT</t>
  </si>
  <si>
    <t>HSIP loan repayment from ADOT</t>
  </si>
  <si>
    <t>WACOG002</t>
  </si>
  <si>
    <t>2016</t>
  </si>
  <si>
    <t>MMO 14C-103</t>
  </si>
  <si>
    <t>Repay 2012 STP loan to NACOG</t>
  </si>
  <si>
    <t>Loan repayment for 2015 HSIP loan</t>
  </si>
  <si>
    <r>
      <rPr>
        <b/>
        <sz val="11"/>
        <color rgb="FFFF0000"/>
        <rFont val="Arial Unicode MS"/>
        <family val="2"/>
      </rPr>
      <t xml:space="preserve">DRAFT </t>
    </r>
    <r>
      <rPr>
        <sz val="11"/>
        <color theme="1"/>
        <rFont val="Arial Unicode MS"/>
        <family val="2"/>
      </rPr>
      <t>Data as of:</t>
    </r>
  </si>
  <si>
    <t>LHMPO1402</t>
  </si>
  <si>
    <t>LHMPO</t>
  </si>
  <si>
    <t>2019</t>
  </si>
  <si>
    <t>LHMPO LOAN TO WACOG FY 14</t>
  </si>
  <si>
    <t>SEAGO</t>
  </si>
  <si>
    <t>SEAGO LOAN TO WACOG 2014</t>
  </si>
  <si>
    <t>LHMPO1401</t>
  </si>
  <si>
    <t>HSIP TRANSFER FROM LHMPO TO WACOG</t>
  </si>
  <si>
    <t>LHMPO LOAN TO WACOG FY 15</t>
  </si>
  <si>
    <t>DAVIS RD PROJECT</t>
  </si>
  <si>
    <t>WACOG LOAN TO SEAGO FY 15</t>
  </si>
  <si>
    <t>LHMPO LOAN TO WACOG FY 16</t>
  </si>
  <si>
    <t>2017</t>
  </si>
  <si>
    <t>LHMPO LOAN TO WACOG FY 17</t>
  </si>
  <si>
    <t>2018</t>
  </si>
  <si>
    <t>2020</t>
  </si>
  <si>
    <t>LHMPO LOAN TO WACOG FY 18</t>
  </si>
  <si>
    <t>LHMPO LOAN TO WACOG FY 19</t>
  </si>
  <si>
    <t>LHMPO LOAN TO WACOG FY 20</t>
  </si>
  <si>
    <t>SEAGO14-L001</t>
  </si>
  <si>
    <t>WACOG14-L002</t>
  </si>
  <si>
    <t>WACOG STP LOAN TO ADOT 03/31/14</t>
  </si>
  <si>
    <t>WACOG14-L001</t>
  </si>
  <si>
    <t>WACOG14-L003</t>
  </si>
  <si>
    <t>SS994 - OATMAN RD</t>
  </si>
  <si>
    <t>WACOG STP LOAN TO ADOT 04/11/14</t>
  </si>
  <si>
    <t>WACOG14-L004</t>
  </si>
  <si>
    <t>SUNMPO</t>
  </si>
  <si>
    <t>SCMPO SAFTEY PLAN</t>
  </si>
  <si>
    <t>WACOG HSIP LOAN TO SUNPMO</t>
  </si>
  <si>
    <t>WACOG STP LOAN TO ADOT 04/11/14 REPAYMENT</t>
  </si>
  <si>
    <t>WACOG HSIP LOAN TO SUNPMO REPAYMENT</t>
  </si>
  <si>
    <t>Current FFY
Apportionments /5</t>
  </si>
  <si>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</si>
  <si>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WACOG14-L005</t>
  </si>
  <si>
    <t>SS994</t>
  </si>
  <si>
    <t>WACOG STP LOAN TO ADOT</t>
  </si>
  <si>
    <t>Lapsing</t>
  </si>
  <si>
    <t>WACOG-LP01</t>
  </si>
  <si>
    <t>WACOG-T001</t>
  </si>
  <si>
    <t>H4511</t>
  </si>
  <si>
    <t>WACOG TRANSFER TO ADOT</t>
  </si>
  <si>
    <t>None</t>
  </si>
  <si>
    <t>WACOG LAPSING FUNDS - FFY14</t>
  </si>
  <si>
    <t>State FY 15 Approved work program amount</t>
  </si>
  <si>
    <t>State FY 15 amount authorized prior to 09/30/14 or Lapsed funding</t>
  </si>
  <si>
    <t xml:space="preserve">State FY 15 amount available for authorization 10/01/14 - 06/30/15 </t>
  </si>
  <si>
    <t>State FY 16 amount avaiilable for authorization 07/1/15 - 09/30/15 (request must be submitted by 09/01/15)</t>
  </si>
  <si>
    <t>Total SPR apportionments for Federal Fiscal Year 15 (as shown on ledger)</t>
  </si>
  <si>
    <t>Federal Fiscal Year 2015</t>
  </si>
  <si>
    <t>Planned Lapsing - 06/30/15</t>
  </si>
  <si>
    <t>Lapsed - 07/01/15</t>
  </si>
  <si>
    <t>Planned Lapsing - 09/30/15</t>
  </si>
  <si>
    <t>Carry Forward to FFY 16</t>
  </si>
  <si>
    <t>SH60401C</t>
  </si>
  <si>
    <t>MM014-109C</t>
  </si>
  <si>
    <t>MOHAVE CO-WACOG</t>
  </si>
  <si>
    <t>MOHAVE COUNTY VARIOUS LOCATIONS</t>
  </si>
  <si>
    <t>MM0</t>
  </si>
  <si>
    <t>The  OA to apportionments for FFY 15 is 93.9%.  The rate for calculations is .938824907710534.</t>
  </si>
  <si>
    <t>QUARTZSITE</t>
  </si>
  <si>
    <t>QTZ</t>
  </si>
  <si>
    <t>0</t>
  </si>
  <si>
    <t>SZ08101C</t>
  </si>
  <si>
    <t>QTZ14-101C</t>
  </si>
  <si>
    <t>N MOON MTN AV: W MAIN ST-QUAIL TRAIL ST</t>
  </si>
  <si>
    <t>205</t>
  </si>
  <si>
    <t>094</t>
  </si>
  <si>
    <t>A</t>
  </si>
  <si>
    <t>211</t>
  </si>
  <si>
    <t>CAG-15L1</t>
  </si>
  <si>
    <t>CAG</t>
  </si>
  <si>
    <t>CAG HSIP Loan to WACOG</t>
  </si>
  <si>
    <t>LHMPO-15L1</t>
  </si>
  <si>
    <t>LHMPO HSIP Loan to WACOG</t>
  </si>
  <si>
    <t>SS96501C</t>
  </si>
  <si>
    <t>MOHAVE CO-LHMPO</t>
  </si>
  <si>
    <t>BANK STREET WIDENING NORTHER TO JAGERSON</t>
  </si>
  <si>
    <t>206</t>
  </si>
  <si>
    <t>PWACG21P</t>
  </si>
  <si>
    <t>000</t>
  </si>
  <si>
    <t>G</t>
  </si>
  <si>
    <t>186</t>
  </si>
  <si>
    <t>RLTAP20P</t>
  </si>
  <si>
    <t>LOCAL TRANS ASSIST</t>
  </si>
  <si>
    <t>473</t>
  </si>
  <si>
    <t>SH51601C</t>
  </si>
  <si>
    <t>BUL13-007C</t>
  </si>
  <si>
    <t>BULLHEAD CITY</t>
  </si>
  <si>
    <t>CITY OF BULLHEAD CITY BULLHEAD PKWY RSA 10 DESIGN</t>
  </si>
  <si>
    <t>BUL</t>
  </si>
  <si>
    <t>202</t>
  </si>
  <si>
    <t>PWG1501P</t>
  </si>
  <si>
    <t>2015 WACOG WP STP FUNDS</t>
  </si>
  <si>
    <t>999</t>
  </si>
  <si>
    <t>483</t>
  </si>
  <si>
    <t>SH46701C</t>
  </si>
  <si>
    <t>WACOG 2010</t>
  </si>
  <si>
    <t>Business Loop I-10</t>
  </si>
  <si>
    <t>2015 WACOG SPR</t>
  </si>
  <si>
    <t>PWACG22P</t>
  </si>
  <si>
    <t>2016 WACOG SPR</t>
  </si>
  <si>
    <t>188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</si>
</sst>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43" formatCode="_(* #,##0.00_);_(* \(#,##0.00\);_(* &quot;-&quot;??_);_(@_)"/>
  </numFmts>
  <fonts count="39"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b/>
      <sz val="11"/>
      <color rgb="FFFF0000"/>
      <name val="Calibri"/>
      <family val="2"/>
      <scheme val="minor"/>
    </font>
    <font>
      <sz val="8"/>
      <name val="Wingdings"/>
      <charset val="2"/>
    </font>
    <font>
      <sz val="10"/>
      <color indexed="8"/>
      <name val="Arial"/>
      <family val="2"/>
    </font>
    <font>
      <sz val="11"/>
      <color indexed="8"/>
      <name val="Calibri"/>
      <family val="2"/>
    </font>
    <font>
      <b/>
      <sz val="10"/>
      <name val="Calibri"/>
      <family val="2"/>
      <scheme val="minor"/>
    </font>
    <font>
      <b/>
      <i/>
      <sz val="11"/>
      <color theme="1"/>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sz val="10"/>
      <color theme="0"/>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0"/>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9"/>
      <name val="Arial Unicode MS"/>
      <family val="2"/>
    </font>
    <font>
      <sz val="9"/>
      <color theme="1"/>
      <name val="Arial Unicode MS"/>
      <family val="2"/>
    </font>
    <font>
      <sz val="9"/>
      <name val="Arial Unicode MS"/>
      <family val="2"/>
    </font>
    <font>
      <sz val="9"/>
      <color theme="1"/>
      <name val="Arial Unicode MS"/>
      <family val="2"/>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rgb="FFACEAAC"/>
        <bgColor indexed="64"/>
      </patternFill>
    </fill>
    <fill>
      <patternFill patternType="solid">
        <fgColor rgb="FFACEAAC"/>
        <bgColor theme="8"/>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4">
    <xf numFmtId="0" fontId="0" fillId="0" borderId="0"/>
    <xf numFmtId="44" fontId="1" fillId="0" borderId="0" applyFont="0" applyFill="0" applyBorder="0" applyAlignment="0" applyProtection="0"/>
    <xf numFmtId="0" fontId="8" fillId="0" borderId="0"/>
    <xf numFmtId="43" fontId="1" fillId="0" borderId="0" applyFont="0" applyFill="0" applyBorder="0" applyAlignment="0" applyProtection="0"/>
  </cellStyleXfs>
  <cellXfs count="202">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9" fillId="0" borderId="0" xfId="2" applyFont="1" applyFill="1" applyBorder="1" applyAlignment="1">
      <alignment vertical="top" wrapText="1"/>
    </xf>
    <xf numFmtId="0" fontId="9"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9"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9" fillId="0" borderId="0" xfId="2" applyFont="1" applyFill="1" applyBorder="1" applyAlignment="1">
      <alignment vertical="top" wrapText="1"/>
    </xf>
    <xf numFmtId="0" fontId="9"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12"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4" fillId="0" borderId="0" xfId="0" applyFont="1" applyAlignment="1">
      <alignment vertical="top" wrapText="1"/>
    </xf>
    <xf numFmtId="14" fontId="14" fillId="0" borderId="0" xfId="0" applyNumberFormat="1" applyFont="1" applyAlignment="1">
      <alignment vertical="top" wrapText="1"/>
    </xf>
    <xf numFmtId="14" fontId="15" fillId="0" borderId="0" xfId="0" applyNumberFormat="1" applyFont="1" applyAlignment="1">
      <alignment horizontal="center" vertical="center" wrapText="1"/>
    </xf>
    <xf numFmtId="40" fontId="14" fillId="0" borderId="0" xfId="0" applyNumberFormat="1" applyFont="1" applyAlignment="1">
      <alignment vertical="top" wrapText="1"/>
    </xf>
    <xf numFmtId="40" fontId="14" fillId="0" borderId="0" xfId="1" applyNumberFormat="1" applyFont="1" applyAlignment="1">
      <alignment vertical="top" wrapText="1"/>
    </xf>
    <xf numFmtId="0" fontId="16" fillId="0" borderId="0" xfId="0" applyFont="1" applyAlignment="1">
      <alignment vertical="top" wrapText="1"/>
    </xf>
    <xf numFmtId="40" fontId="20" fillId="2" borderId="19" xfId="1" applyNumberFormat="1" applyFont="1" applyFill="1" applyBorder="1" applyAlignment="1">
      <alignment horizontal="center" vertical="center" wrapText="1"/>
    </xf>
    <xf numFmtId="0" fontId="16" fillId="0" borderId="0" xfId="0" applyFont="1" applyAlignment="1">
      <alignment horizontal="left" vertical="top" wrapText="1"/>
    </xf>
    <xf numFmtId="49" fontId="14" fillId="0" borderId="0" xfId="1" applyNumberFormat="1" applyFont="1" applyAlignment="1">
      <alignment vertical="top" wrapText="1"/>
    </xf>
    <xf numFmtId="40" fontId="25" fillId="0" borderId="0" xfId="0" applyNumberFormat="1" applyFont="1" applyFill="1" applyBorder="1" applyAlignment="1">
      <alignment vertical="top" wrapText="1"/>
    </xf>
    <xf numFmtId="14" fontId="14" fillId="0" borderId="0" xfId="0" applyNumberFormat="1" applyFont="1" applyAlignment="1">
      <alignment horizontal="left" vertical="center" wrapText="1"/>
    </xf>
    <xf numFmtId="0" fontId="14" fillId="0" borderId="0" xfId="0" applyFont="1" applyAlignment="1">
      <alignment horizontal="left" vertical="top" wrapText="1"/>
    </xf>
    <xf numFmtId="40" fontId="24" fillId="0" borderId="0" xfId="0" applyNumberFormat="1" applyFont="1" applyBorder="1" applyAlignment="1">
      <alignment horizontal="left" vertical="top" wrapText="1"/>
    </xf>
    <xf numFmtId="40" fontId="24" fillId="0" borderId="0" xfId="0" applyNumberFormat="1" applyFont="1" applyFill="1" applyBorder="1" applyAlignment="1">
      <alignment horizontal="right" vertical="top" wrapText="1"/>
    </xf>
    <xf numFmtId="40" fontId="16" fillId="0" borderId="0" xfId="0" applyNumberFormat="1" applyFont="1" applyBorder="1" applyAlignment="1">
      <alignment vertical="top" wrapText="1"/>
    </xf>
    <xf numFmtId="40" fontId="25" fillId="0" borderId="0" xfId="0" applyNumberFormat="1" applyFont="1" applyBorder="1" applyAlignment="1">
      <alignment vertical="top" wrapText="1"/>
    </xf>
    <xf numFmtId="40" fontId="19" fillId="0" borderId="0" xfId="0" applyNumberFormat="1" applyFont="1" applyBorder="1" applyAlignment="1">
      <alignment horizontal="center" vertical="center" wrapText="1"/>
    </xf>
    <xf numFmtId="40" fontId="18" fillId="0" borderId="0" xfId="0" applyNumberFormat="1" applyFont="1" applyBorder="1" applyAlignment="1">
      <alignment horizontal="center" vertical="center" wrapText="1"/>
    </xf>
    <xf numFmtId="40" fontId="30" fillId="0" borderId="0" xfId="0" applyNumberFormat="1" applyFont="1" applyBorder="1" applyAlignment="1">
      <alignment horizontal="center" vertical="center" wrapText="1"/>
    </xf>
    <xf numFmtId="40" fontId="28" fillId="0" borderId="1" xfId="0" applyNumberFormat="1" applyFont="1" applyBorder="1" applyAlignment="1">
      <alignment horizontal="left" vertical="top" wrapText="1"/>
    </xf>
    <xf numFmtId="40" fontId="28" fillId="0" borderId="1" xfId="0" applyNumberFormat="1" applyFont="1" applyBorder="1" applyAlignment="1">
      <alignment horizontal="center" vertical="top" wrapText="1"/>
    </xf>
    <xf numFmtId="0" fontId="14" fillId="0" borderId="0" xfId="0" applyFont="1" applyBorder="1" applyAlignment="1">
      <alignment vertical="top" wrapText="1"/>
    </xf>
    <xf numFmtId="14" fontId="14" fillId="0" borderId="0" xfId="0" applyNumberFormat="1" applyFont="1" applyBorder="1" applyAlignment="1">
      <alignment vertical="top" wrapText="1"/>
    </xf>
    <xf numFmtId="40" fontId="14" fillId="0" borderId="0" xfId="0" applyNumberFormat="1"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horizontal="center" vertical="center" wrapText="1"/>
    </xf>
    <xf numFmtId="14" fontId="21" fillId="0" borderId="0" xfId="0" applyNumberFormat="1" applyFont="1" applyBorder="1" applyAlignment="1">
      <alignment horizontal="center" vertical="center" wrapText="1"/>
    </xf>
    <xf numFmtId="14" fontId="27" fillId="0" borderId="5" xfId="0" applyNumberFormat="1" applyFont="1" applyBorder="1" applyAlignment="1">
      <alignment horizontal="right" vertical="top" wrapText="1"/>
    </xf>
    <xf numFmtId="14" fontId="19" fillId="0" borderId="0" xfId="0" applyNumberFormat="1" applyFont="1" applyBorder="1" applyAlignment="1">
      <alignment horizontal="center" vertical="center" wrapText="1"/>
    </xf>
    <xf numFmtId="14" fontId="27" fillId="0" borderId="1" xfId="0" applyNumberFormat="1" applyFont="1" applyBorder="1" applyAlignment="1">
      <alignment horizontal="right" vertical="top" wrapText="1"/>
    </xf>
    <xf numFmtId="14" fontId="18" fillId="0" borderId="0" xfId="0" applyNumberFormat="1" applyFont="1" applyBorder="1" applyAlignment="1">
      <alignment horizontal="center" vertical="center" wrapText="1"/>
    </xf>
    <xf numFmtId="14" fontId="24" fillId="0" borderId="0" xfId="0" applyNumberFormat="1" applyFont="1" applyBorder="1" applyAlignment="1">
      <alignment horizontal="right" vertical="top" wrapText="1"/>
    </xf>
    <xf numFmtId="0" fontId="25" fillId="0" borderId="0" xfId="0" applyFont="1" applyBorder="1" applyAlignment="1">
      <alignment vertical="top" wrapText="1"/>
    </xf>
    <xf numFmtId="0" fontId="25" fillId="0" borderId="0" xfId="0" applyFont="1" applyBorder="1" applyAlignment="1">
      <alignment horizontal="center" vertical="center" wrapText="1"/>
    </xf>
    <xf numFmtId="14" fontId="25" fillId="0" borderId="0" xfId="0" applyNumberFormat="1" applyFont="1" applyBorder="1" applyAlignment="1">
      <alignment horizontal="center" vertical="center" wrapText="1"/>
    </xf>
    <xf numFmtId="14" fontId="25" fillId="0" borderId="0" xfId="0" applyNumberFormat="1" applyFont="1" applyBorder="1"/>
    <xf numFmtId="40" fontId="25" fillId="0" borderId="0" xfId="0" applyNumberFormat="1" applyFont="1" applyBorder="1"/>
    <xf numFmtId="14" fontId="21" fillId="0" borderId="8" xfId="0" applyNumberFormat="1" applyFont="1" applyBorder="1" applyAlignment="1">
      <alignment horizontal="center" vertical="center" wrapText="1"/>
    </xf>
    <xf numFmtId="14" fontId="21" fillId="0" borderId="5" xfId="0" applyNumberFormat="1" applyFont="1" applyBorder="1" applyAlignment="1">
      <alignment horizontal="center" vertical="center" wrapText="1"/>
    </xf>
    <xf numFmtId="40" fontId="21" fillId="0" borderId="5" xfId="0" applyNumberFormat="1" applyFont="1" applyBorder="1" applyAlignment="1">
      <alignment horizontal="center" vertical="center" wrapText="1"/>
    </xf>
    <xf numFmtId="40" fontId="27" fillId="0" borderId="5" xfId="0" applyNumberFormat="1" applyFont="1" applyBorder="1" applyAlignment="1">
      <alignment horizontal="center" vertical="center" wrapText="1"/>
    </xf>
    <xf numFmtId="0" fontId="21" fillId="0" borderId="6" xfId="0" applyFont="1" applyBorder="1" applyAlignment="1">
      <alignment vertical="top" wrapText="1"/>
    </xf>
    <xf numFmtId="14" fontId="21" fillId="0" borderId="6" xfId="0" applyNumberFormat="1" applyFont="1" applyBorder="1" applyAlignment="1">
      <alignment vertical="top" wrapText="1"/>
    </xf>
    <xf numFmtId="14" fontId="21" fillId="0" borderId="0" xfId="0" applyNumberFormat="1" applyFont="1" applyBorder="1" applyAlignment="1">
      <alignment vertical="top" wrapText="1"/>
    </xf>
    <xf numFmtId="40" fontId="21" fillId="0" borderId="0" xfId="0" applyNumberFormat="1" applyFont="1" applyBorder="1" applyAlignment="1">
      <alignment vertical="top" wrapText="1"/>
    </xf>
    <xf numFmtId="0" fontId="20" fillId="0" borderId="0" xfId="0" applyFont="1" applyAlignment="1">
      <alignment horizontal="left" vertical="top" wrapText="1"/>
    </xf>
    <xf numFmtId="0" fontId="29" fillId="0" borderId="0" xfId="0" applyFont="1" applyAlignment="1">
      <alignment horizontal="left" vertical="top"/>
    </xf>
    <xf numFmtId="14" fontId="24" fillId="0" borderId="0" xfId="0" applyNumberFormat="1" applyFont="1" applyBorder="1" applyAlignment="1">
      <alignment vertical="top" wrapText="1"/>
    </xf>
    <xf numFmtId="40" fontId="20" fillId="2" borderId="9" xfId="0" applyNumberFormat="1" applyFont="1" applyFill="1" applyBorder="1" applyAlignment="1">
      <alignment horizontal="center" vertical="center" wrapText="1"/>
    </xf>
    <xf numFmtId="40" fontId="28" fillId="0" borderId="10" xfId="0" applyNumberFormat="1" applyFont="1" applyBorder="1" applyAlignment="1">
      <alignment horizontal="left" vertical="top" wrapText="1"/>
    </xf>
    <xf numFmtId="40" fontId="20" fillId="0" borderId="8" xfId="0" applyNumberFormat="1" applyFont="1" applyBorder="1" applyAlignment="1">
      <alignment horizontal="center" vertical="center" wrapText="1"/>
    </xf>
    <xf numFmtId="40" fontId="20" fillId="0" borderId="5" xfId="0" applyNumberFormat="1" applyFont="1" applyBorder="1" applyAlignment="1">
      <alignment horizontal="center" vertical="center" wrapText="1"/>
    </xf>
    <xf numFmtId="14" fontId="20" fillId="0" borderId="5" xfId="0" applyNumberFormat="1" applyFont="1" applyBorder="1" applyAlignment="1">
      <alignment horizontal="center" vertical="center" wrapText="1"/>
    </xf>
    <xf numFmtId="0" fontId="31" fillId="0" borderId="0" xfId="0" applyFont="1" applyAlignment="1">
      <alignment horizontal="center" vertical="center" wrapText="1"/>
    </xf>
    <xf numFmtId="43" fontId="0" fillId="0" borderId="1" xfId="3" applyFont="1" applyBorder="1"/>
    <xf numFmtId="43" fontId="13" fillId="0" borderId="1" xfId="3" applyFont="1" applyBorder="1"/>
    <xf numFmtId="43" fontId="0" fillId="0" borderId="10" xfId="3" applyFont="1" applyBorder="1"/>
    <xf numFmtId="43" fontId="13" fillId="0" borderId="10" xfId="3" applyFont="1" applyBorder="1"/>
    <xf numFmtId="43" fontId="13" fillId="0" borderId="2" xfId="3" applyFont="1" applyBorder="1"/>
    <xf numFmtId="43" fontId="13" fillId="0" borderId="11" xfId="3" applyFont="1" applyBorder="1"/>
    <xf numFmtId="43" fontId="13" fillId="0" borderId="6" xfId="3" applyFont="1" applyBorder="1"/>
    <xf numFmtId="43" fontId="13" fillId="0" borderId="7" xfId="3" applyFont="1" applyBorder="1"/>
    <xf numFmtId="14" fontId="0" fillId="0" borderId="0" xfId="3" applyNumberFormat="1" applyFont="1" applyAlignment="1">
      <alignment horizontal="left" vertical="center" wrapText="1"/>
    </xf>
    <xf numFmtId="14" fontId="14" fillId="0" borderId="0" xfId="0" applyNumberFormat="1" applyFont="1" applyAlignment="1">
      <alignment vertical="center" wrapText="1"/>
    </xf>
    <xf numFmtId="40" fontId="17" fillId="0" borderId="0" xfId="0" applyNumberFormat="1" applyFont="1" applyBorder="1" applyAlignment="1">
      <alignment vertical="top" wrapText="1"/>
    </xf>
    <xf numFmtId="14" fontId="24" fillId="2" borderId="1" xfId="0" applyNumberFormat="1" applyFont="1" applyFill="1" applyBorder="1" applyAlignment="1">
      <alignment horizontal="center" vertical="center" wrapText="1"/>
    </xf>
    <xf numFmtId="14" fontId="20" fillId="0" borderId="9" xfId="1" applyNumberFormat="1" applyFont="1" applyFill="1" applyBorder="1" applyAlignment="1">
      <alignment horizontal="center" vertical="center" wrapText="1"/>
    </xf>
    <xf numFmtId="40" fontId="20" fillId="0" borderId="17" xfId="1" applyNumberFormat="1" applyFont="1" applyFill="1" applyBorder="1" applyAlignment="1">
      <alignment horizontal="center" vertical="center" wrapText="1"/>
    </xf>
    <xf numFmtId="40" fontId="20" fillId="0" borderId="5" xfId="1" applyNumberFormat="1" applyFont="1" applyFill="1" applyBorder="1" applyAlignment="1">
      <alignment horizontal="center" vertical="center" wrapText="1"/>
    </xf>
    <xf numFmtId="40" fontId="20" fillId="0" borderId="18" xfId="1" applyNumberFormat="1" applyFont="1" applyFill="1" applyBorder="1" applyAlignment="1">
      <alignment horizontal="center" vertical="center" wrapText="1"/>
    </xf>
    <xf numFmtId="43" fontId="13" fillId="0" borderId="0" xfId="3" applyFont="1" applyBorder="1"/>
    <xf numFmtId="43" fontId="0" fillId="0" borderId="8" xfId="3" applyFont="1" applyBorder="1"/>
    <xf numFmtId="43" fontId="0" fillId="0" borderId="5" xfId="3" applyFont="1" applyBorder="1"/>
    <xf numFmtId="43" fontId="0" fillId="0" borderId="9" xfId="3" applyFont="1" applyBorder="1"/>
    <xf numFmtId="40" fontId="30" fillId="5" borderId="6" xfId="0" applyNumberFormat="1" applyFont="1" applyFill="1" applyBorder="1" applyAlignment="1">
      <alignment horizontal="center" vertical="center" wrapText="1"/>
    </xf>
    <xf numFmtId="14" fontId="21" fillId="0" borderId="2" xfId="0" applyNumberFormat="1" applyFont="1" applyBorder="1" applyAlignment="1">
      <alignment horizontal="left" vertical="top" wrapText="1"/>
    </xf>
    <xf numFmtId="14" fontId="21" fillId="0" borderId="2" xfId="0" applyNumberFormat="1" applyFont="1" applyFill="1" applyBorder="1" applyAlignment="1">
      <alignment horizontal="left" vertical="top" wrapText="1"/>
    </xf>
    <xf numFmtId="14" fontId="27" fillId="0" borderId="2" xfId="0" applyNumberFormat="1" applyFont="1" applyBorder="1" applyAlignment="1">
      <alignment horizontal="left" vertical="top" wrapText="1"/>
    </xf>
    <xf numFmtId="43" fontId="32" fillId="0" borderId="0" xfId="3" applyFont="1"/>
    <xf numFmtId="14" fontId="21" fillId="0" borderId="1" xfId="0" applyNumberFormat="1" applyFont="1" applyBorder="1" applyAlignment="1">
      <alignment horizontal="right"/>
    </xf>
    <xf numFmtId="40" fontId="28" fillId="0" borderId="0" xfId="0" applyNumberFormat="1" applyFont="1" applyBorder="1" applyAlignment="1">
      <alignment horizontal="right" vertical="top" wrapText="1"/>
    </xf>
    <xf numFmtId="0" fontId="21" fillId="0" borderId="0" xfId="0" applyFont="1" applyAlignment="1">
      <alignment vertical="top" wrapText="1"/>
    </xf>
    <xf numFmtId="40" fontId="21" fillId="0" borderId="0" xfId="0" applyNumberFormat="1" applyFont="1" applyBorder="1" applyAlignment="1">
      <alignment horizontal="right" vertical="top" wrapText="1"/>
    </xf>
    <xf numFmtId="40" fontId="20" fillId="0" borderId="0" xfId="0" applyNumberFormat="1" applyFont="1" applyFill="1" applyBorder="1" applyAlignment="1">
      <alignment horizontal="center" vertical="center" wrapText="1"/>
    </xf>
    <xf numFmtId="14" fontId="23" fillId="0" borderId="0" xfId="0" applyNumberFormat="1" applyFont="1" applyBorder="1" applyAlignment="1">
      <alignment horizontal="right" vertical="top"/>
    </xf>
    <xf numFmtId="14" fontId="27" fillId="0" borderId="0" xfId="0" applyNumberFormat="1" applyFont="1" applyBorder="1" applyAlignment="1">
      <alignment horizontal="right" vertical="top"/>
    </xf>
    <xf numFmtId="40" fontId="21" fillId="0" borderId="1" xfId="0" applyNumberFormat="1" applyFont="1" applyFill="1" applyBorder="1" applyAlignment="1">
      <alignment horizontal="right" vertical="top"/>
    </xf>
    <xf numFmtId="40" fontId="28" fillId="0" borderId="6" xfId="0" applyNumberFormat="1" applyFont="1" applyFill="1" applyBorder="1" applyAlignment="1">
      <alignment horizontal="right" vertical="center"/>
    </xf>
    <xf numFmtId="43" fontId="21" fillId="0" borderId="1" xfId="3" applyFont="1" applyFill="1" applyBorder="1" applyAlignment="1">
      <alignment horizontal="right" vertical="top"/>
    </xf>
    <xf numFmtId="40" fontId="21" fillId="4" borderId="1" xfId="0" applyNumberFormat="1" applyFont="1" applyFill="1" applyBorder="1" applyAlignment="1">
      <alignment horizontal="right" vertical="top"/>
    </xf>
    <xf numFmtId="0" fontId="14" fillId="0" borderId="0" xfId="0" applyFont="1" applyAlignment="1">
      <alignment vertical="center"/>
    </xf>
    <xf numFmtId="43" fontId="33" fillId="0" borderId="0" xfId="3" applyFont="1"/>
    <xf numFmtId="14" fontId="28" fillId="2" borderId="9" xfId="0" applyNumberFormat="1" applyFont="1" applyFill="1" applyBorder="1" applyAlignment="1">
      <alignment horizontal="center" vertical="top" wrapText="1"/>
    </xf>
    <xf numFmtId="40" fontId="28" fillId="0" borderId="1" xfId="3" applyNumberFormat="1" applyFont="1" applyBorder="1" applyAlignment="1">
      <alignment horizontal="right" vertical="top"/>
    </xf>
    <xf numFmtId="43" fontId="28" fillId="0" borderId="2" xfId="3" applyFont="1" applyBorder="1" applyAlignment="1">
      <alignment horizontal="right" vertical="top"/>
    </xf>
    <xf numFmtId="40" fontId="21" fillId="0" borderId="3" xfId="0" applyNumberFormat="1" applyFont="1" applyBorder="1" applyAlignment="1">
      <alignment horizontal="right" vertical="center"/>
    </xf>
    <xf numFmtId="40" fontId="21" fillId="0" borderId="3" xfId="0" applyNumberFormat="1" applyFont="1" applyFill="1" applyBorder="1" applyAlignment="1">
      <alignment horizontal="right" vertical="top"/>
    </xf>
    <xf numFmtId="40" fontId="21" fillId="0" borderId="4" xfId="0" applyNumberFormat="1" applyFont="1" applyFill="1" applyBorder="1" applyAlignment="1">
      <alignment horizontal="right" vertical="top"/>
    </xf>
    <xf numFmtId="40" fontId="21" fillId="0" borderId="20" xfId="0" applyNumberFormat="1" applyFont="1" applyFill="1" applyBorder="1" applyAlignment="1">
      <alignment vertical="top"/>
    </xf>
    <xf numFmtId="40" fontId="21" fillId="0" borderId="1" xfId="0" applyNumberFormat="1" applyFont="1" applyFill="1" applyBorder="1" applyAlignment="1">
      <alignment vertical="top"/>
    </xf>
    <xf numFmtId="40" fontId="21" fillId="0" borderId="10" xfId="0" applyNumberFormat="1" applyFont="1" applyFill="1" applyBorder="1" applyAlignment="1">
      <alignment vertical="top"/>
    </xf>
    <xf numFmtId="40" fontId="21" fillId="0" borderId="3" xfId="0" applyNumberFormat="1" applyFont="1" applyFill="1" applyBorder="1" applyAlignment="1">
      <alignment vertical="top"/>
    </xf>
    <xf numFmtId="40" fontId="27" fillId="0" borderId="3" xfId="0" applyNumberFormat="1" applyFont="1" applyFill="1" applyBorder="1" applyAlignment="1">
      <alignment horizontal="right" vertical="top"/>
    </xf>
    <xf numFmtId="40" fontId="27" fillId="0" borderId="1" xfId="0" applyNumberFormat="1" applyFont="1" applyFill="1" applyBorder="1" applyAlignment="1">
      <alignment horizontal="right" vertical="top"/>
    </xf>
    <xf numFmtId="40" fontId="27" fillId="0" borderId="4" xfId="0" applyNumberFormat="1" applyFont="1" applyFill="1" applyBorder="1" applyAlignment="1">
      <alignment horizontal="right" vertical="top"/>
    </xf>
    <xf numFmtId="40" fontId="21" fillId="0" borderId="1" xfId="0" applyNumberFormat="1" applyFont="1" applyBorder="1" applyAlignment="1">
      <alignment vertical="top"/>
    </xf>
    <xf numFmtId="40" fontId="21" fillId="0" borderId="5" xfId="0" applyNumberFormat="1" applyFont="1" applyBorder="1" applyAlignment="1">
      <alignment horizontal="right" vertical="top"/>
    </xf>
    <xf numFmtId="0" fontId="21" fillId="0" borderId="0" xfId="0" applyFont="1" applyBorder="1" applyAlignment="1">
      <alignment vertical="top"/>
    </xf>
    <xf numFmtId="40" fontId="21" fillId="0" borderId="6" xfId="0" applyNumberFormat="1" applyFont="1" applyBorder="1" applyAlignment="1">
      <alignment vertical="top"/>
    </xf>
    <xf numFmtId="40" fontId="21" fillId="0" borderId="6" xfId="3" applyNumberFormat="1" applyFont="1" applyBorder="1" applyAlignment="1">
      <alignment vertical="top"/>
    </xf>
    <xf numFmtId="43" fontId="21" fillId="0" borderId="7" xfId="0" applyNumberFormat="1" applyFont="1" applyBorder="1" applyAlignment="1">
      <alignment vertical="top"/>
    </xf>
    <xf numFmtId="40" fontId="21" fillId="0" borderId="0" xfId="0" applyNumberFormat="1" applyFont="1" applyBorder="1" applyAlignment="1">
      <alignment vertical="top"/>
    </xf>
    <xf numFmtId="40" fontId="21" fillId="0" borderId="6" xfId="0" applyNumberFormat="1" applyFont="1" applyBorder="1" applyAlignment="1">
      <alignment horizontal="right" vertical="top"/>
    </xf>
    <xf numFmtId="40" fontId="21" fillId="0" borderId="3" xfId="0" applyNumberFormat="1" applyFont="1" applyBorder="1" applyAlignment="1">
      <alignment horizontal="right" vertical="top"/>
    </xf>
    <xf numFmtId="40" fontId="21" fillId="0" borderId="1" xfId="0" applyNumberFormat="1" applyFont="1" applyBorder="1" applyAlignment="1">
      <alignment horizontal="right" vertical="top"/>
    </xf>
    <xf numFmtId="43" fontId="34" fillId="0" borderId="0" xfId="3" applyFont="1"/>
    <xf numFmtId="14" fontId="21" fillId="0" borderId="1" xfId="0" applyNumberFormat="1" applyFont="1" applyBorder="1" applyAlignment="1">
      <alignment horizontal="right" vertical="top"/>
    </xf>
    <xf numFmtId="40" fontId="28" fillId="0" borderId="11" xfId="0" applyNumberFormat="1" applyFont="1" applyBorder="1" applyAlignment="1">
      <alignment horizontal="left" vertical="top" wrapText="1"/>
    </xf>
    <xf numFmtId="40" fontId="28" fillId="0" borderId="6" xfId="0" applyNumberFormat="1" applyFont="1" applyBorder="1" applyAlignment="1">
      <alignment horizontal="left" vertical="top" wrapText="1"/>
    </xf>
    <xf numFmtId="40" fontId="28" fillId="0" borderId="6" xfId="0" applyNumberFormat="1" applyFont="1" applyBorder="1" applyAlignment="1">
      <alignment horizontal="center" vertical="top" wrapText="1"/>
    </xf>
    <xf numFmtId="14" fontId="21" fillId="0" borderId="6" xfId="0" applyNumberFormat="1" applyFont="1" applyBorder="1" applyAlignment="1">
      <alignment horizontal="right"/>
    </xf>
    <xf numFmtId="14" fontId="21" fillId="0" borderId="6" xfId="0" applyNumberFormat="1" applyFont="1" applyBorder="1" applyAlignment="1">
      <alignment horizontal="right" vertical="top"/>
    </xf>
    <xf numFmtId="40" fontId="28" fillId="0" borderId="6" xfId="3" applyNumberFormat="1" applyFont="1" applyBorder="1" applyAlignment="1">
      <alignment horizontal="right" vertical="top"/>
    </xf>
    <xf numFmtId="43" fontId="28" fillId="0" borderId="2" xfId="3" applyNumberFormat="1" applyFont="1" applyBorder="1" applyAlignment="1">
      <alignment horizontal="right" vertical="top"/>
    </xf>
    <xf numFmtId="40" fontId="35" fillId="0" borderId="11" xfId="0" applyNumberFormat="1" applyFont="1" applyBorder="1" applyAlignment="1">
      <alignment horizontal="left" vertical="top" wrapText="1"/>
    </xf>
    <xf numFmtId="40" fontId="35" fillId="0" borderId="6" xfId="0" applyNumberFormat="1" applyFont="1" applyBorder="1" applyAlignment="1">
      <alignment horizontal="left" vertical="top" wrapText="1"/>
    </xf>
    <xf numFmtId="40" fontId="35" fillId="0" borderId="6" xfId="0" applyNumberFormat="1" applyFont="1" applyBorder="1" applyAlignment="1">
      <alignment horizontal="center" vertical="top" wrapText="1"/>
    </xf>
    <xf numFmtId="14" fontId="36" fillId="0" borderId="6" xfId="0" applyNumberFormat="1" applyFont="1" applyBorder="1" applyAlignment="1">
      <alignment horizontal="right"/>
    </xf>
    <xf numFmtId="14" fontId="36" fillId="0" borderId="6" xfId="0" applyNumberFormat="1" applyFont="1" applyBorder="1" applyAlignment="1">
      <alignment horizontal="right" vertical="top"/>
    </xf>
    <xf numFmtId="40" fontId="35" fillId="0" borderId="6" xfId="3" applyNumberFormat="1" applyFont="1" applyBorder="1" applyAlignment="1">
      <alignment horizontal="right" vertical="top"/>
    </xf>
    <xf numFmtId="40" fontId="37" fillId="0" borderId="11" xfId="0" applyNumberFormat="1" applyFont="1" applyBorder="1" applyAlignment="1">
      <alignment horizontal="left" vertical="top" wrapText="1"/>
    </xf>
    <xf numFmtId="40" fontId="37" fillId="0" borderId="22" xfId="0" applyNumberFormat="1" applyFont="1" applyBorder="1" applyAlignment="1">
      <alignment horizontal="left" vertical="top" wrapText="1"/>
    </xf>
    <xf numFmtId="40" fontId="37" fillId="0" borderId="6" xfId="0" applyNumberFormat="1" applyFont="1" applyBorder="1" applyAlignment="1">
      <alignment horizontal="left" vertical="top" wrapText="1"/>
    </xf>
    <xf numFmtId="40" fontId="37" fillId="0" borderId="21" xfId="0" applyNumberFormat="1" applyFont="1" applyBorder="1" applyAlignment="1">
      <alignment horizontal="left" vertical="top" wrapText="1"/>
    </xf>
    <xf numFmtId="40" fontId="37" fillId="0" borderId="6" xfId="0" applyNumberFormat="1" applyFont="1" applyBorder="1" applyAlignment="1">
      <alignment horizontal="center" vertical="top" wrapText="1"/>
    </xf>
    <xf numFmtId="40" fontId="37" fillId="0" borderId="21" xfId="0" applyNumberFormat="1" applyFont="1" applyBorder="1" applyAlignment="1">
      <alignment horizontal="center" vertical="top" wrapText="1"/>
    </xf>
    <xf numFmtId="14" fontId="38" fillId="0" borderId="6" xfId="0" applyNumberFormat="1" applyFont="1" applyBorder="1" applyAlignment="1">
      <alignment horizontal="right"/>
    </xf>
    <xf numFmtId="14" fontId="38" fillId="0" borderId="21" xfId="0" applyNumberFormat="1" applyFont="1" applyBorder="1" applyAlignment="1">
      <alignment horizontal="right"/>
    </xf>
    <xf numFmtId="14" fontId="38" fillId="0" borderId="6" xfId="0" applyNumberFormat="1" applyFont="1" applyBorder="1" applyAlignment="1">
      <alignment horizontal="right" vertical="top"/>
    </xf>
    <xf numFmtId="14" fontId="38" fillId="0" borderId="21" xfId="0" applyNumberFormat="1" applyFont="1" applyBorder="1" applyAlignment="1">
      <alignment horizontal="right" vertical="top"/>
    </xf>
    <xf numFmtId="40" fontId="37" fillId="0" borderId="6" xfId="3" applyNumberFormat="1" applyFont="1" applyBorder="1" applyAlignment="1">
      <alignment horizontal="right" vertical="top"/>
    </xf>
    <xf numFmtId="40" fontId="37" fillId="0" borderId="21" xfId="3" applyNumberFormat="1" applyFont="1" applyBorder="1" applyAlignment="1">
      <alignment horizontal="right" vertical="top"/>
    </xf>
    <xf numFmtId="40" fontId="24" fillId="0" borderId="12" xfId="0" applyNumberFormat="1" applyFont="1" applyBorder="1" applyAlignment="1">
      <alignment horizontal="center" vertical="top" wrapText="1"/>
    </xf>
    <xf numFmtId="0" fontId="5" fillId="0" borderId="0" xfId="0" applyFont="1" applyAlignment="1">
      <alignment horizontal="left" vertical="top" wrapText="1"/>
    </xf>
    <xf numFmtId="0" fontId="29" fillId="0" borderId="0" xfId="0" applyFont="1" applyAlignment="1">
      <alignment horizontal="left" vertical="top" wrapText="1"/>
    </xf>
    <xf numFmtId="40" fontId="30" fillId="4" borderId="13" xfId="1" applyNumberFormat="1" applyFont="1" applyFill="1" applyBorder="1" applyAlignment="1">
      <alignment horizontal="center" vertical="center" wrapText="1"/>
    </xf>
    <xf numFmtId="40" fontId="30" fillId="4" borderId="14" xfId="1" applyNumberFormat="1" applyFont="1" applyFill="1" applyBorder="1" applyAlignment="1">
      <alignment horizontal="center" vertical="center" wrapText="1"/>
    </xf>
    <xf numFmtId="40" fontId="30" fillId="4" borderId="15" xfId="1" applyNumberFormat="1" applyFont="1" applyFill="1" applyBorder="1" applyAlignment="1">
      <alignment horizontal="center" vertical="center" wrapText="1"/>
    </xf>
    <xf numFmtId="0" fontId="14" fillId="0" borderId="0" xfId="0" applyFont="1" applyAlignment="1">
      <alignment horizontal="left" vertical="top" wrapText="1"/>
    </xf>
    <xf numFmtId="40" fontId="16" fillId="0" borderId="16" xfId="0" applyNumberFormat="1" applyFont="1" applyBorder="1" applyAlignment="1">
      <alignment horizontal="center" vertical="center" wrapText="1"/>
    </xf>
    <xf numFmtId="0" fontId="16" fillId="0" borderId="0" xfId="0" applyFont="1" applyAlignment="1">
      <alignment horizontal="left" vertical="top" wrapText="1"/>
    </xf>
    <xf numFmtId="14" fontId="16" fillId="0" borderId="7" xfId="0" applyNumberFormat="1" applyFont="1" applyBorder="1" applyAlignment="1">
      <alignment horizontal="center" vertical="top" wrapText="1"/>
    </xf>
    <xf numFmtId="14" fontId="16" fillId="0" borderId="16" xfId="0" applyNumberFormat="1" applyFont="1" applyBorder="1" applyAlignment="1">
      <alignment horizontal="center" vertical="top" wrapText="1"/>
    </xf>
    <xf numFmtId="14" fontId="16" fillId="0" borderId="11" xfId="0" applyNumberFormat="1" applyFont="1" applyBorder="1" applyAlignment="1">
      <alignment horizontal="center" vertical="top"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0" fillId="0" borderId="0" xfId="0"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xf>
    <xf numFmtId="0" fontId="6" fillId="0" borderId="0" xfId="0" applyFont="1" applyAlignment="1">
      <alignment horizontal="left" vertical="top" wrapText="1"/>
    </xf>
    <xf numFmtId="0" fontId="2" fillId="0" borderId="0" xfId="0" applyFont="1" applyAlignment="1">
      <alignment horizontal="left" vertical="top" wrapText="1"/>
    </xf>
    <xf numFmtId="0" fontId="9" fillId="3" borderId="0" xfId="2" applyFont="1" applyFill="1" applyBorder="1" applyAlignment="1">
      <alignment horizontal="left" vertical="top" wrapText="1"/>
    </xf>
    <xf numFmtId="0" fontId="9" fillId="0" borderId="0" xfId="2" applyFont="1" applyFill="1" applyBorder="1"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cellXfs>
  <cellStyles count="4">
    <cellStyle name="Comma" xfId="3" builtinId="3"/>
    <cellStyle name="Currency" xfId="1" builtinId="4"/>
    <cellStyle name="Normal" xfId="0" builtinId="0"/>
    <cellStyle name="Normal_Notes" xfId="2"/>
  </cellStyles>
  <dxfs count="107">
    <dxf>
      <font>
        <strike val="0"/>
        <outline val="0"/>
        <shadow val="0"/>
        <u val="none"/>
        <vertAlign val="baseline"/>
        <sz val="9"/>
        <color auto="1"/>
        <name val="Arial Unicode MS"/>
        <scheme val="none"/>
      </font>
      <numFmt numFmtId="35" formatCode="_(* #,##0.00_);_(* \(#,##0.00\);_(* &quot;-&quot;??_);_(@_)"/>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strike val="0"/>
        <outline val="0"/>
        <shadow val="0"/>
        <u val="none"/>
        <vertAlign val="baseline"/>
        <sz val="9"/>
        <color auto="1"/>
        <name val="Arial Unicode MS"/>
        <scheme val="none"/>
      </font>
      <numFmt numFmtId="8" formatCode="#,##0.00_);[Red]\(#,##0.00\)"/>
      <alignment horizontal="right" vertical="top" textRotation="0" wrapText="0"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color auto="1"/>
        <name val="Arial Unicode MS"/>
        <scheme val="none"/>
      </font>
      <numFmt numFmtId="8" formatCode="#,##0.00_);[Red]\(#,##0.00\)"/>
      <alignment horizontal="right" vertical="top" textRotation="0" wrapText="0"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color auto="1"/>
        <name val="Arial Unicode MS"/>
        <scheme val="none"/>
      </font>
      <numFmt numFmtId="8" formatCode="#,##0.00_);[Red]\(#,##0.00\)"/>
      <alignment horizontal="right" vertical="top" textRotation="0" wrapText="0"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color auto="1"/>
        <name val="Arial Unicode MS"/>
        <scheme val="none"/>
      </font>
      <numFmt numFmtId="8" formatCode="#,##0.00_);[Red]\(#,##0.00\)"/>
      <alignment horizontal="right" vertical="top" textRotation="0" wrapText="0"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19" formatCode="m/d/yyyy"/>
      <alignment horizontal="right" vertical="top" textRotation="0" wrapText="0"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19" formatCode="m/d/yyyy"/>
      <alignment horizontal="right" vertical="top" textRotation="0" wrapText="0"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19" formatCode="m/d/yyyy"/>
      <alignment horizontal="right" vertical="top" textRotation="0" wrapText="0"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19" formatCode="m/d/yyyy"/>
      <alignment horizontal="right" vertical="bottom"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color auto="1"/>
        <name val="Arial Unicode MS"/>
        <scheme val="none"/>
      </font>
      <numFmt numFmtId="8" formatCode="#,##0.00_);[Red]\(#,##0.00\)"/>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color auto="1"/>
        <name val="Arial Unicode MS"/>
        <scheme val="none"/>
      </font>
      <numFmt numFmtId="8" formatCode="#,##0.00_);[Red]\(#,##0.00\)"/>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color auto="1"/>
        <name val="Arial Unicode MS"/>
        <scheme val="none"/>
      </font>
      <numFmt numFmtId="8" formatCode="#,##0.00_);[Red]\(#,##0.00\)"/>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color auto="1"/>
        <name val="Arial Unicode MS"/>
        <scheme val="none"/>
      </font>
      <numFmt numFmtId="8" formatCode="#,##0.00_);[Red]\(#,##0.00\)"/>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color auto="1"/>
        <name val="Arial Unicode MS"/>
        <scheme val="none"/>
      </font>
      <numFmt numFmtId="8" formatCode="#,##0.00_);[Red]\(#,##0.00\)"/>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color auto="1"/>
        <name val="Arial Unicode MS"/>
        <scheme val="none"/>
      </font>
      <numFmt numFmtId="8" formatCode="#,##0.00_);[Red]\(#,##0.00\)"/>
      <alignment horizontal="left" vertical="top" textRotation="0" wrapText="1" indent="0" justifyLastLine="0" shrinkToFit="0" readingOrder="0"/>
      <border diagonalUp="0" diagonalDown="0">
        <left/>
        <right style="thin">
          <color indexed="64"/>
        </right>
        <top style="thin">
          <color indexed="64"/>
        </top>
        <bottom/>
        <vertical/>
        <horizontal/>
      </border>
    </dxf>
    <dxf>
      <font>
        <strike val="0"/>
        <outline val="0"/>
        <shadow val="0"/>
        <u val="none"/>
        <vertAlign val="baseline"/>
        <sz val="9"/>
        <name val="Arial Unicode MS"/>
        <scheme val="none"/>
      </font>
      <numFmt numFmtId="35" formatCode="_(* #,##0.00_);_(* \(#,##0.00\);_(* &quot;-&quot;??_);_(@_)"/>
      <alignment horizontal="general" vertical="top" textRotation="0" wrapText="0" indent="0" justifyLastLine="0" shrinkToFit="0" readingOrder="0"/>
      <border diagonalUp="0" diagonalDown="0">
        <left style="thin">
          <color indexed="64"/>
        </left>
        <right/>
        <top style="thin">
          <color indexed="64"/>
        </top>
        <bottom/>
        <vertical/>
        <horizontal/>
      </border>
    </dxf>
    <dxf>
      <font>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19"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19"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19"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19"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19"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19"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19"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19"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color auto="1"/>
        <name val="Arial Unicode MS"/>
        <scheme val="none"/>
      </font>
      <numFmt numFmtId="8" formatCode="#,##0.00_);[Red]\(#,##0.0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9"/>
        <color auto="1"/>
        <name val="Arial Unicode MS"/>
        <scheme val="none"/>
      </font>
      <numFmt numFmtId="8" formatCode="#,##0.00_);[Red]\(#,##0.0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9"/>
        <color auto="1"/>
        <name val="Arial Unicode MS"/>
        <scheme val="none"/>
      </font>
      <numFmt numFmtId="8" formatCode="#,##0.00_);[Red]\(#,##0.0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9"/>
        <color auto="1"/>
        <name val="Arial Unicode MS"/>
        <scheme val="none"/>
      </font>
      <numFmt numFmtId="8" formatCode="#,##0.00_);[Red]\(#,##0.0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9"/>
        <color auto="1"/>
        <name val="Arial Unicode MS"/>
        <scheme val="none"/>
      </font>
      <numFmt numFmtId="8" formatCode="#,##0.00_);[Red]\(#,##0.00\)"/>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9"/>
        <name val="Arial Unicode MS"/>
        <scheme val="none"/>
      </font>
      <numFmt numFmtId="164" formatCode="mm/dd/yyyy"/>
      <alignment horizontal="general" vertical="top" textRotation="0" wrapText="1" indent="0" justifyLastLine="0" shrinkToFit="0" readingOrder="0"/>
    </dxf>
    <dxf>
      <border>
        <bottom style="thin">
          <color indexed="64"/>
        </bottom>
      </border>
    </dxf>
    <dxf>
      <font>
        <strike val="0"/>
        <outline val="0"/>
        <shadow val="0"/>
        <u val="none"/>
        <vertAlign val="baseline"/>
        <sz val="9"/>
        <name val="Arial Unicode MS"/>
        <scheme val="none"/>
      </font>
      <numFmt numFmtId="164" formatCode="mm/dd/yyyy"/>
      <alignment horizontal="general"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9"/>
        <name val="Arial Unicode MS"/>
        <scheme val="none"/>
      </font>
      <alignment textRotation="0" wrapText="0" indent="0" justifyLastLine="0" shrinkToFit="0" readingOrder="0"/>
    </dxf>
    <dxf>
      <font>
        <strike val="0"/>
        <outline val="0"/>
        <shadow val="0"/>
        <u val="none"/>
        <vertAlign val="baseline"/>
        <sz val="9"/>
        <name val="Arial Unicode MS"/>
        <scheme val="none"/>
      </font>
      <numFmt numFmtId="8" formatCode="#,##0.00_);[Red]\(#,##0.00\)"/>
      <alignment textRotation="0" wrapText="0" indent="0" justifyLastLine="0" shrinkToFit="0" readingOrder="0"/>
    </dxf>
    <dxf>
      <font>
        <strike val="0"/>
        <outline val="0"/>
        <shadow val="0"/>
        <u val="none"/>
        <vertAlign val="baseline"/>
        <sz val="9"/>
        <name val="Arial Unicode MS"/>
        <scheme val="none"/>
      </font>
      <numFmt numFmtId="8" formatCode="#,##0.00_);[Red]\(#,##0.00\)"/>
      <alignment textRotation="0" wrapText="0" indent="0" justifyLastLine="0" shrinkToFit="0" readingOrder="0"/>
    </dxf>
    <dxf>
      <font>
        <strike val="0"/>
        <outline val="0"/>
        <shadow val="0"/>
        <u val="none"/>
        <vertAlign val="baseline"/>
        <sz val="9"/>
        <name val="Arial Unicode MS"/>
        <scheme val="none"/>
      </font>
      <numFmt numFmtId="8" formatCode="#,##0.00_);[Red]\(#,##0.00\)"/>
      <alignment textRotation="0" wrapText="0" indent="0" justifyLastLine="0" shrinkToFit="0" readingOrder="0"/>
    </dxf>
    <dxf>
      <font>
        <strike val="0"/>
        <outline val="0"/>
        <shadow val="0"/>
        <u val="none"/>
        <vertAlign val="baseline"/>
        <sz val="9"/>
        <name val="Arial Unicode MS"/>
        <scheme val="none"/>
      </font>
      <numFmt numFmtId="8" formatCode="#,##0.00_);[Red]\(#,##0.00\)"/>
      <alignment textRotation="0" wrapText="0" indent="0" justifyLastLine="0" shrinkToFit="0" readingOrder="0"/>
    </dxf>
    <dxf>
      <font>
        <strike val="0"/>
        <outline val="0"/>
        <shadow val="0"/>
        <u val="none"/>
        <vertAlign val="baseline"/>
        <sz val="9"/>
        <name val="Arial Unicode MS"/>
        <scheme val="none"/>
      </font>
      <numFmt numFmtId="164" formatCode="mm/dd/yyyy"/>
      <alignment horizontal="left"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ACEAAC"/>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06"/>
      <tableStyleElement type="firstRowStripe" dxfId="105"/>
    </tableStyle>
    <tableStyle name="Table Style 2" pivot="0" count="1">
      <tableStyleElement type="firstRowStripe" dxfId="104"/>
    </tableStyle>
    <tableStyle name="Table Style 3" pivot="0" count="1">
      <tableStyleElement type="firstRowStripe" dxfId="103"/>
    </tableStyle>
    <tableStyle name="Table Style 4" pivot="0" count="3">
      <tableStyleElement type="wholeTable" dxfId="102"/>
      <tableStyleElement type="headerRow" dxfId="101"/>
      <tableStyleElement type="firstRowStripe" dxfId="100"/>
    </tableStyle>
  </tableStyles>
  <colors>
    <mruColors>
      <color rgb="FFACEAAC"/>
      <color rgb="FFC9FFF5"/>
      <color rgb="FFFFCCFF"/>
      <color rgb="FFDDD9C4"/>
      <color rgb="FFA2B9E2"/>
      <color rgb="FFF4AF80"/>
      <color rgb="FFCFB8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_1" adjustColumnWidth="0" connectionId="1" autoFormatId="16" applyNumberFormats="0" applyBorderFormats="0" applyFontFormats="0" applyPatternFormats="0" applyAlignmentFormats="0" applyWidthHeightFormats="0">
  <queryTableRefresh nextId="19" unboundColumnsRight="2">
    <queryTableFields count="18">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16" dataBound="0" tableColumnId="16"/>
      <queryTableField id="9" name="PB Expected" tableColumnId="9"/>
      <queryTableField id="10" name="PB Received" tableColumnId="10"/>
      <queryTableField id="11" name="PF Transmitted" tableColumnId="11"/>
      <queryTableField id="12" name="Finance Authorization" tableColumnId="12"/>
      <queryTableField id="13" name="HSIP" tableColumnId="13"/>
      <queryTableField id="14" name="SPR" tableColumnId="14"/>
      <queryTableField id="15" name="STP OTHER" tableColumnId="15"/>
      <queryTableField id="17" dataBound="0" tableColumnId="17"/>
      <queryTableField id="18" dataBound="0" tableColumnId="18"/>
    </queryTableFields>
  </queryTableRefresh>
</queryTable>
</file>

<file path=xl/queryTables/queryTable2.xml><?xml version="1.0" encoding="utf-8"?>
<queryTable xmlns="http://schemas.openxmlformats.org/spreadsheetml/2006/main" name="Query from MS Access Database_2" adjustColumnWidth="0" connectionId="4" autoFormatId="16" applyNumberFormats="0" applyBorderFormats="0" applyFontFormats="0" applyPatternFormats="0" applyAlignmentFormats="0" applyWidthHeightFormats="0">
  <queryTableRefresh nextId="19" unboundColumnsRight="2">
    <queryTableFields count="18">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16" dataBound="0" tableColumnId="16"/>
      <queryTableField id="9" name="PB Expected" tableColumnId="9"/>
      <queryTableField id="10" name="PB Received" tableColumnId="10"/>
      <queryTableField id="11" name="PF Transmitted" tableColumnId="11"/>
      <queryTableField id="12" name="Finance Authorization" tableColumnId="12"/>
      <queryTableField id="13" name="HSIP" tableColumnId="13"/>
      <queryTableField id="14" name="SPR" tableColumnId="14"/>
      <queryTableField id="15" name="STP OTHER" tableColumnId="15"/>
      <queryTableField id="17" dataBound="0" tableColumnId="17"/>
      <queryTableField id="18" dataBound="0" tableColumnId="18"/>
    </queryTableFields>
  </queryTableRefresh>
</queryTable>
</file>

<file path=xl/queryTables/queryTable3.xml><?xml version="1.0" encoding="utf-8"?>
<queryTable xmlns="http://schemas.openxmlformats.org/spreadsheetml/2006/main" name="Query from MS Access Database" connectionId="2" autoFormatId="16" applyNumberFormats="0" applyBorderFormats="0" applyFontFormats="0" applyPatternFormats="0" applyAlignmentFormats="0" applyWidthHeightFormats="0">
  <queryTableRefresh nextId="23">
    <queryTableFields count="18">
      <queryTableField id="1" name="Transaction Year" tableColumnId="1"/>
      <queryTableField id="2" name="Transaction Type" tableColumnId="2"/>
      <queryTableField id="3" name="Number" tableColumnId="3"/>
      <queryTableField id="6" name="Repayment Year" tableColumnId="6"/>
      <queryTableField id="9" name="Total" tableColumnId="9"/>
      <queryTableField id="10" name="CMAQ" tableColumnId="10"/>
      <queryTableField id="11" name="CMAQ 2_5" tableColumnId="11"/>
      <queryTableField id="12" name="HSIP" tableColumnId="12"/>
      <queryTableField id="13" name="PL" tableColumnId="13"/>
      <queryTableField id="14" name="SPR" tableColumnId="14"/>
      <queryTableField id="15" name="STP other" tableColumnId="15"/>
      <queryTableField id="16" name="STP over 200K" tableColumnId="16"/>
      <queryTableField id="17" name="TA other" tableColumnId="17"/>
      <queryTableField id="18" name="TA over 200K" tableColumnId="18"/>
      <queryTableField id="19" name="From" tableColumnId="4"/>
      <queryTableField id="20" name="To" tableColumnId="5"/>
      <queryTableField id="21" name="Project8" tableColumnId="7"/>
      <queryTableField id="22" name="Notes" tableColumnId="8"/>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27">
    <queryTableFields count="18">
      <queryTableField id="1" name="Transaction Year" tableColumnId="1"/>
      <queryTableField id="2" name="Transaction Type" tableColumnId="2"/>
      <queryTableField id="3" name="Number" tableColumnId="3"/>
      <queryTableField id="6" name="Repayment Year" tableColumnId="6"/>
      <queryTableField id="9" name="Total" tableColumnId="9"/>
      <queryTableField id="10" name="CMAQ" tableColumnId="10"/>
      <queryTableField id="11" name="CMAQ 2_5" tableColumnId="11"/>
      <queryTableField id="12" name="HSIP" tableColumnId="12"/>
      <queryTableField id="13" name="PL" tableColumnId="13"/>
      <queryTableField id="14" name="SPR" tableColumnId="14"/>
      <queryTableField id="15" name="STP other" tableColumnId="15"/>
      <queryTableField id="16" name="STP over 200K" tableColumnId="16"/>
      <queryTableField id="17" name="TA other" tableColumnId="17"/>
      <queryTableField id="18" name="TA over 200K" tableColumnId="18"/>
      <queryTableField id="23" name="From" tableColumnId="43"/>
      <queryTableField id="24" name="To" tableColumnId="44"/>
      <queryTableField id="25" name="Project8" tableColumnId="45"/>
      <queryTableField id="26" name="Notes" tableColumnId="46"/>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R12" totalsRowShown="0" headerRowDxfId="99" dataDxfId="97" headerRowBorderDxfId="98" tableBorderDxfId="96" totalsRowBorderDxfId="95" headerRowCellStyle="Currency">
  <autoFilter ref="M3:R12"/>
  <tableColumns count="6">
    <tableColumn id="1" name="Description" dataDxfId="94"/>
    <tableColumn id="4" name="HSIP/3" dataDxfId="93"/>
    <tableColumn id="5" name="SPR /4" dataDxfId="92"/>
    <tableColumn id="6" name="STP other" dataDxfId="91"/>
    <tableColumn id="7" name="Total" dataDxfId="90"/>
    <tableColumn id="8" name="FFY OBLIGATION AUTHORITY /2" dataDxfId="89"/>
  </tableColumns>
  <tableStyleInfo name="Table Style 4" showFirstColumn="0" showLastColumn="0" showRowStripes="1" showColumnStripes="0"/>
</table>
</file>

<file path=xl/tables/table2.xml><?xml version="1.0" encoding="utf-8"?>
<table xmlns="http://schemas.openxmlformats.org/spreadsheetml/2006/main" id="2" name="Table_Query_from_MS_Access_Database_1" displayName="Table_Query_from_MS_Access_Database_1" ref="A15:R24" tableType="queryTable" totalsRowShown="0" headerRowDxfId="88" dataDxfId="86" headerRowBorderDxfId="87" tableBorderDxfId="85" totalsRowBorderDxfId="84">
  <autoFilter ref="A15:R24"/>
  <tableColumns count="18">
    <tableColumn id="1" uniqueName="1" name="ADOT#" queryTableFieldId="1" dataDxfId="53"/>
    <tableColumn id="2" uniqueName="2" name="TIP#" queryTableFieldId="2" dataDxfId="52"/>
    <tableColumn id="3" uniqueName="3" name="Sponsor" queryTableFieldId="3" dataDxfId="51"/>
    <tableColumn id="4" uniqueName="4" name="Action/15" queryTableFieldId="4" dataDxfId="50"/>
    <tableColumn id="5" uniqueName="5" name="Location" queryTableFieldId="5" dataDxfId="49"/>
    <tableColumn id="6" uniqueName="6" name="RTE" queryTableFieldId="6" dataDxfId="48"/>
    <tableColumn id="7" uniqueName="7" name="SEC" queryTableFieldId="7" dataDxfId="47"/>
    <tableColumn id="8" uniqueName="8" name="SEQ" queryTableFieldId="8" dataDxfId="46"/>
    <tableColumn id="16" uniqueName="16" name="FED #" queryTableFieldId="16" dataDxfId="45"/>
    <tableColumn id="9" uniqueName="9" name="PB Expected" queryTableFieldId="9" dataDxfId="44"/>
    <tableColumn id="10" uniqueName="10" name="PB Received" queryTableFieldId="10" dataDxfId="43"/>
    <tableColumn id="11" uniqueName="11" name="PF Transmitted" queryTableFieldId="11" dataDxfId="42"/>
    <tableColumn id="12" uniqueName="12" name="Finance Authorization" queryTableFieldId="12" dataDxfId="41"/>
    <tableColumn id="13" uniqueName="13" name="HSIP" queryTableFieldId="13" dataDxfId="40" dataCellStyle="Comma"/>
    <tableColumn id="14" uniqueName="14" name="SPR" queryTableFieldId="14" dataDxfId="39" dataCellStyle="Comma"/>
    <tableColumn id="15" uniqueName="15" name="STP OTHER" queryTableFieldId="15" dataDxfId="38" dataCellStyle="Comma"/>
    <tableColumn id="17" uniqueName="17" name="TOTAL OF  AMOUNT" queryTableFieldId="17" dataDxfId="37" dataCellStyle="Comma">
      <calculatedColumnFormula>+Table_Query_from_MS_Access_Database_1[[#This Row],[HSIP]]+Table_Query_from_MS_Access_Database_1[[#This Row],[SPR]]+Table_Query_from_MS_Access_Database_1[[#This Row],[STP OTHER]]</calculatedColumnFormula>
    </tableColumn>
    <tableColumn id="18" uniqueName="18" name="DECLINGING BALANCE OA" queryTableFieldId="18" dataDxfId="0" dataCellStyle="Comma">
      <calculatedColumnFormula>R12-Table_Query_from_MS_Access_Database_1[TOTAL OF  AMOUNT]</calculatedColumnFormula>
    </tableColumn>
  </tableColumns>
  <tableStyleInfo name="Table Style 4" showFirstColumn="0" showLastColumn="0" showRowStripes="1" showColumnStripes="0"/>
</table>
</file>

<file path=xl/tables/table3.xml><?xml version="1.0" encoding="utf-8"?>
<table xmlns="http://schemas.openxmlformats.org/spreadsheetml/2006/main" id="6" name="Table_Query_from_MS_Access_Database_2" displayName="Table_Query_from_MS_Access_Database_2" ref="A29:R30" tableType="queryTable" totalsRowShown="0" headerRowDxfId="83" dataDxfId="81" headerRowBorderDxfId="82" tableBorderDxfId="80" totalsRowBorderDxfId="79">
  <autoFilter ref="A29:R30"/>
  <tableColumns count="18">
    <tableColumn id="1" uniqueName="1" name="ADOT#" queryTableFieldId="1" dataDxfId="71"/>
    <tableColumn id="2" uniqueName="2" name="TIP#" queryTableFieldId="2" dataDxfId="70"/>
    <tableColumn id="3" uniqueName="3" name="Sponsor" queryTableFieldId="3" dataDxfId="69"/>
    <tableColumn id="4" uniqueName="4" name="Action/15" queryTableFieldId="4" dataDxfId="68"/>
    <tableColumn id="5" uniqueName="5" name="Location" queryTableFieldId="5" dataDxfId="67"/>
    <tableColumn id="6" uniqueName="6" name="RTE" queryTableFieldId="6" dataDxfId="66"/>
    <tableColumn id="7" uniqueName="7" name="SEC" queryTableFieldId="7" dataDxfId="65"/>
    <tableColumn id="8" uniqueName="8" name="SEQ" queryTableFieldId="8" dataDxfId="64"/>
    <tableColumn id="16" uniqueName="16" name="FED #" queryTableFieldId="16" dataDxfId="63">
      <calculatedColumnFormula>CONCATENATE(Table_Query_from_MS_Access_Database_2[RTE],Table_Query_from_MS_Access_Database_2[SEC],Table_Query_from_MS_Access_Database_2[SEQ])</calculatedColumnFormula>
    </tableColumn>
    <tableColumn id="9" uniqueName="9" name="PB Expected" queryTableFieldId="9" dataDxfId="62"/>
    <tableColumn id="10" uniqueName="10" name="PB Received" queryTableFieldId="10" dataDxfId="61"/>
    <tableColumn id="11" uniqueName="11" name="PF Transmitted" queryTableFieldId="11" dataDxfId="60"/>
    <tableColumn id="12" uniqueName="12" name="Finance Authorization" queryTableFieldId="12" dataDxfId="59"/>
    <tableColumn id="13" uniqueName="13" name="HSIP" queryTableFieldId="13" dataDxfId="58"/>
    <tableColumn id="14" uniqueName="14" name="SPR" queryTableFieldId="14" dataDxfId="57"/>
    <tableColumn id="15" uniqueName="15" name="STP OTHER" queryTableFieldId="15" dataDxfId="56"/>
    <tableColumn id="17" uniqueName="17" name="TOTAL OF AMOUNT" queryTableFieldId="17" dataDxfId="55" dataCellStyle="Comma">
      <calculatedColumnFormula>+Table_Query_from_MS_Access_Database_2[HSIP]+Table_Query_from_MS_Access_Database_2[SPR]+Table_Query_from_MS_Access_Database_2[STP OTHER]</calculatedColumnFormula>
    </tableColumn>
    <tableColumn id="18" uniqueName="18" name="EXPECTED DECLINING BALANCE OA" queryTableFieldId="18" dataDxfId="54">
      <calculatedColumnFormula>R24-Table_Query_from_MS_Access_Database_2[TOTAL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R45" tableType="queryTable" totalsRowShown="0" headerRowDxfId="78" headerRowBorderDxfId="77" tableBorderDxfId="76" totalsRowBorderDxfId="75" headerRowCellStyle="Comma" dataCellStyle="Comma">
  <autoFilter ref="A11:R45"/>
  <tableColumns count="18">
    <tableColumn id="1" uniqueName="1" name="Transaction Year" queryTableFieldId="1" dataDxfId="18" dataCellStyle="Comma"/>
    <tableColumn id="2" uniqueName="2" name="Transaction Type" queryTableFieldId="2" dataDxfId="17" dataCellStyle="Comma"/>
    <tableColumn id="3" uniqueName="3" name="Number" queryTableFieldId="3" dataDxfId="16" dataCellStyle="Comma"/>
    <tableColumn id="6" uniqueName="6" name="Repayment Year" queryTableFieldId="6" dataDxfId="15" dataCellStyle="Comma"/>
    <tableColumn id="9" uniqueName="9" name="Total" queryTableFieldId="9" dataDxfId="14" dataCellStyle="Comma"/>
    <tableColumn id="10" uniqueName="10" name="CMAQ" queryTableFieldId="10" dataDxfId="13" dataCellStyle="Comma"/>
    <tableColumn id="11" uniqueName="11" name="CMAQ 2_5" queryTableFieldId="11" dataDxfId="12" dataCellStyle="Comma"/>
    <tableColumn id="12" uniqueName="12" name="HSIP" queryTableFieldId="12" dataDxfId="11" dataCellStyle="Comma"/>
    <tableColumn id="13" uniqueName="13" name="PL" queryTableFieldId="13" dataDxfId="10" dataCellStyle="Comma"/>
    <tableColumn id="14" uniqueName="14" name="SPR" queryTableFieldId="14" dataDxfId="9" dataCellStyle="Comma"/>
    <tableColumn id="15" uniqueName="15" name="STP other" queryTableFieldId="15" dataDxfId="8" dataCellStyle="Comma"/>
    <tableColumn id="16" uniqueName="16" name="STP over 200K" queryTableFieldId="16" dataDxfId="7" dataCellStyle="Comma"/>
    <tableColumn id="17" uniqueName="17" name="TA other" queryTableFieldId="17" dataDxfId="6" dataCellStyle="Comma"/>
    <tableColumn id="18" uniqueName="18" name="TA over 200K" queryTableFieldId="18" dataDxfId="5" dataCellStyle="Comma"/>
    <tableColumn id="4" uniqueName="4" name="From" queryTableFieldId="19" dataDxfId="4" dataCellStyle="Comma"/>
    <tableColumn id="5" uniqueName="5" name="To" queryTableFieldId="20" dataDxfId="3" dataCellStyle="Comma"/>
    <tableColumn id="7" uniqueName="7" name="Project8" queryTableFieldId="21" dataDxfId="2" dataCellStyle="Comma"/>
    <tableColumn id="8" uniqueName="8" name="Notes" queryTableFieldId="22" dataDxfId="1"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51:R86" tableType="queryTable" totalsRowShown="0" headerRowDxfId="74" dataDxfId="73" tableBorderDxfId="72" headerRowCellStyle="Comma" dataCellStyle="Comma">
  <autoFilter ref="A51:R86"/>
  <tableColumns count="18">
    <tableColumn id="1" uniqueName="1" name="Transaction Year" queryTableFieldId="1" dataDxfId="36" dataCellStyle="Comma"/>
    <tableColumn id="2" uniqueName="2" name="Transaction Type" queryTableFieldId="2" dataDxfId="35" dataCellStyle="Comma"/>
    <tableColumn id="3" uniqueName="3" name="Number" queryTableFieldId="3" dataDxfId="34" dataCellStyle="Comma"/>
    <tableColumn id="6" uniqueName="6" name="Repayment Year" queryTableFieldId="6" dataDxfId="33" dataCellStyle="Comma"/>
    <tableColumn id="9" uniqueName="9" name="Total" queryTableFieldId="9" dataDxfId="32" dataCellStyle="Comma"/>
    <tableColumn id="10" uniqueName="10" name="CMAQ" queryTableFieldId="10" dataDxfId="31" dataCellStyle="Comma"/>
    <tableColumn id="11" uniqueName="11" name="CMAQ 2_5" queryTableFieldId="11" dataDxfId="30" dataCellStyle="Comma"/>
    <tableColumn id="12" uniqueName="12" name="HSIP" queryTableFieldId="12" dataDxfId="29" dataCellStyle="Comma"/>
    <tableColumn id="13" uniqueName="13" name="PL" queryTableFieldId="13" dataDxfId="28" dataCellStyle="Comma"/>
    <tableColumn id="14" uniqueName="14" name="SPR" queryTableFieldId="14" dataDxfId="27" dataCellStyle="Comma"/>
    <tableColumn id="15" uniqueName="15" name="STP other" queryTableFieldId="15" dataDxfId="26" dataCellStyle="Comma"/>
    <tableColumn id="16" uniqueName="16" name="STP over 200K" queryTableFieldId="16" dataDxfId="25" dataCellStyle="Comma"/>
    <tableColumn id="17" uniqueName="17" name="TA other" queryTableFieldId="17" dataDxfId="24" dataCellStyle="Comma"/>
    <tableColumn id="18" uniqueName="18" name="TA over 200K" queryTableFieldId="18" dataDxfId="23" dataCellStyle="Comma"/>
    <tableColumn id="43" uniqueName="43" name="From" queryTableFieldId="23" dataDxfId="22" dataCellStyle="Comma"/>
    <tableColumn id="44" uniqueName="44" name="To" queryTableFieldId="24" dataDxfId="21" dataCellStyle="Comma"/>
    <tableColumn id="45" uniqueName="45" name="Project8" queryTableFieldId="25" dataDxfId="20" dataCellStyle="Comma"/>
    <tableColumn id="46" uniqueName="46" name="Notes" queryTableFieldId="26" dataDxfId="19"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S53"/>
  <sheetViews>
    <sheetView tabSelected="1" zoomScale="90" zoomScaleNormal="90" zoomScaleSheetLayoutView="100" workbookViewId="0">
      <selection sqref="A1:F1"/>
    </sheetView>
  </sheetViews>
  <sheetFormatPr defaultColWidth="32" defaultRowHeight="15.6" x14ac:dyDescent="0.3"/>
  <cols>
    <col min="1" max="1" width="12.77734375" style="33" customWidth="1"/>
    <col min="2" max="4" width="15.77734375" style="33" customWidth="1"/>
    <col min="5" max="5" width="40.77734375" style="33" customWidth="1"/>
    <col min="6" max="7" width="6.33203125" style="33" customWidth="1"/>
    <col min="8" max="8" width="6.5546875" style="33" customWidth="1"/>
    <col min="9" max="9" width="10.88671875" style="33" customWidth="1"/>
    <col min="10" max="12" width="15.77734375" style="34" customWidth="1"/>
    <col min="13" max="13" width="23.77734375" style="34" customWidth="1"/>
    <col min="14" max="17" width="14.77734375" style="36" customWidth="1"/>
    <col min="18" max="18" width="18.77734375" style="33" customWidth="1"/>
    <col min="19" max="19" width="3.5546875" style="33" bestFit="1" customWidth="1"/>
    <col min="20" max="16384" width="32" style="33"/>
  </cols>
  <sheetData>
    <row r="1" spans="1:19" ht="24" thickBot="1" x14ac:dyDescent="0.35">
      <c r="A1" s="176" t="s">
        <v>119</v>
      </c>
      <c r="B1" s="176"/>
      <c r="C1" s="176"/>
      <c r="D1" s="176"/>
      <c r="E1" s="176"/>
      <c r="F1" s="176"/>
      <c r="K1" s="35"/>
      <c r="M1" s="55"/>
      <c r="N1" s="182" t="s">
        <v>90</v>
      </c>
      <c r="O1" s="182"/>
      <c r="P1" s="182"/>
      <c r="Q1" s="182"/>
      <c r="R1" s="182"/>
      <c r="S1" s="182"/>
    </row>
    <row r="2" spans="1:19" ht="16.2" thickBot="1" x14ac:dyDescent="0.35">
      <c r="M2" s="55"/>
      <c r="N2" s="97"/>
      <c r="O2" s="178" t="s">
        <v>12</v>
      </c>
      <c r="P2" s="179"/>
      <c r="Q2" s="179"/>
      <c r="R2" s="180"/>
      <c r="S2" s="56"/>
    </row>
    <row r="3" spans="1:19" ht="26.4" x14ac:dyDescent="0.3">
      <c r="A3" s="183" t="s">
        <v>93</v>
      </c>
      <c r="B3" s="183"/>
      <c r="C3" s="183"/>
      <c r="D3" s="183"/>
      <c r="E3" s="38"/>
      <c r="F3" s="38"/>
      <c r="G3" s="38"/>
      <c r="M3" s="99" t="s">
        <v>11</v>
      </c>
      <c r="N3" s="100" t="s">
        <v>71</v>
      </c>
      <c r="O3" s="101" t="s">
        <v>65</v>
      </c>
      <c r="P3" s="101" t="s">
        <v>6</v>
      </c>
      <c r="Q3" s="102" t="s">
        <v>10</v>
      </c>
      <c r="R3" s="39" t="s">
        <v>15</v>
      </c>
      <c r="S3" s="37"/>
    </row>
    <row r="4" spans="1:19" ht="26.4" x14ac:dyDescent="0.3">
      <c r="A4" s="181" t="s">
        <v>185</v>
      </c>
      <c r="B4" s="181"/>
      <c r="C4" s="181"/>
      <c r="D4" s="181"/>
      <c r="E4" s="40"/>
      <c r="F4" s="40"/>
      <c r="G4" s="40"/>
      <c r="M4" s="108" t="s">
        <v>169</v>
      </c>
      <c r="N4" s="146">
        <v>0</v>
      </c>
      <c r="O4" s="147">
        <v>0</v>
      </c>
      <c r="P4" s="119">
        <v>0</v>
      </c>
      <c r="Q4" s="130">
        <f t="shared" ref="Q4:Q12" si="0">SUM(N4:P4)</f>
        <v>0</v>
      </c>
      <c r="R4" s="128">
        <v>0</v>
      </c>
      <c r="S4" s="37"/>
    </row>
    <row r="5" spans="1:19" ht="26.4" x14ac:dyDescent="0.3">
      <c r="A5" s="123" t="s">
        <v>135</v>
      </c>
      <c r="C5" s="96">
        <v>42277</v>
      </c>
      <c r="M5" s="109" t="s">
        <v>168</v>
      </c>
      <c r="N5" s="129">
        <v>519767</v>
      </c>
      <c r="O5" s="119">
        <f>Notes!D13</f>
        <v>125000</v>
      </c>
      <c r="P5" s="119">
        <f>522552+437733</f>
        <v>960285</v>
      </c>
      <c r="Q5" s="130">
        <f t="shared" si="0"/>
        <v>1605052</v>
      </c>
      <c r="R5" s="129">
        <f>ROUND(+Table1[[#This Row],[Total]]*0.938824907710534,0)</f>
        <v>1506863</v>
      </c>
      <c r="S5" s="41" t="s">
        <v>73</v>
      </c>
    </row>
    <row r="6" spans="1:19" x14ac:dyDescent="0.3">
      <c r="M6" s="109" t="s">
        <v>81</v>
      </c>
      <c r="N6" s="131">
        <f>SUMIFS(Table_Query_from_MS_Access_Database[[#All],[HSIP]],Table_Query_from_MS_Access_Database[[#All],[Transaction Year]],"2015",Table_Query_from_MS_Access_Database[[#All],[Transaction Type]],"loan in")</f>
        <v>336305</v>
      </c>
      <c r="O6" s="132">
        <f>SUMIFS(Table_Query_from_MS_Access_Database[[#All],[SPR]],Table_Query_from_MS_Access_Database[[#All],[Transaction Year]],"2015",Table_Query_from_MS_Access_Database[[#All],[Transaction Type]],"loan in")</f>
        <v>0</v>
      </c>
      <c r="P6" s="133">
        <f>SUMIFS(Table_Query_from_MS_Access_Database[[#All],[STP other]],Table_Query_from_MS_Access_Database[[#All],[Transaction Year]],"2015",Table_Query_from_MS_Access_Database[[#All],[Transaction Type]],"loan in")</f>
        <v>0</v>
      </c>
      <c r="Q6" s="130">
        <f t="shared" si="0"/>
        <v>336305</v>
      </c>
      <c r="R6" s="134">
        <f>SUMIFS(Table_Query_from_MS_Access_Database_16[[#All],[Total]],Table_Query_from_MS_Access_Database_16[[#All],[Transaction Year]],"2015",Table_Query_from_MS_Access_Database_16[[#All],[Transaction Type]],"Loan In")</f>
        <v>318743</v>
      </c>
      <c r="S6" s="37"/>
    </row>
    <row r="7" spans="1:19" x14ac:dyDescent="0.3">
      <c r="A7" s="43"/>
      <c r="M7" s="109" t="s">
        <v>82</v>
      </c>
      <c r="N7" s="131">
        <f>SUMIFS(Table_Query_from_MS_Access_Database[[#All],[HSIP]],Table_Query_from_MS_Access_Database[[#All],[Transaction Year]],"2015",Table_Query_from_MS_Access_Database[[#All],[Transaction Type]],"loan Out")</f>
        <v>-600000</v>
      </c>
      <c r="O7" s="132">
        <f>SUMIFS(Table_Query_from_MS_Access_Database[[#All],[SPR]],Table_Query_from_MS_Access_Database[[#All],[Transaction Year]],"2015",Table_Query_from_MS_Access_Database[[#All],[Transaction Type]],"loan Out")</f>
        <v>0</v>
      </c>
      <c r="P7" s="133">
        <f>SUMIFS(Table_Query_from_MS_Access_Database[[#All],[STP other]],Table_Query_from_MS_Access_Database[[#All],[Transaction Year]],"2015",Table_Query_from_MS_Access_Database[[#All],[Transaction Type]],"loan Out")</f>
        <v>-523560</v>
      </c>
      <c r="Q7" s="130">
        <f t="shared" si="0"/>
        <v>-1123560</v>
      </c>
      <c r="R7" s="134">
        <f>SUMIFS(Table_Query_from_MS_Access_Database_16[[#All],[Total]],Table_Query_from_MS_Access_Database_16[[#All],[Transaction Year]],"2015",Table_Query_from_MS_Access_Database_16[[#All],[Transaction Type]],"Loan Out")</f>
        <v>-1100000</v>
      </c>
      <c r="S7" s="37"/>
    </row>
    <row r="8" spans="1:19" x14ac:dyDescent="0.3">
      <c r="M8" s="108" t="s">
        <v>83</v>
      </c>
      <c r="N8" s="131">
        <f>SUMIFS(Table_Query_from_MS_Access_Database[[#All],[HSIP]],Table_Query_from_MS_Access_Database[[#All],[Transaction Year]],"2015",Table_Query_from_MS_Access_Database[[#All],[Transaction Type]],"repayment in")</f>
        <v>0</v>
      </c>
      <c r="O8" s="132">
        <f>SUMIFS(Table_Query_from_MS_Access_Database[[#All],[SPR]],Table_Query_from_MS_Access_Database[[#All],[Transaction Year]],"2015",Table_Query_from_MS_Access_Database[[#All],[Transaction Type]],"repayment in")</f>
        <v>0</v>
      </c>
      <c r="P8" s="133">
        <f>SUMIFS(Table_Query_from_MS_Access_Database[[#All],[STP other]],Table_Query_from_MS_Access_Database[[#All],[Transaction Year]],"2015",Table_Query_from_MS_Access_Database[[#All],[Transaction Type]],"repayment in")</f>
        <v>1515000</v>
      </c>
      <c r="Q8" s="130">
        <f t="shared" si="0"/>
        <v>1515000</v>
      </c>
      <c r="R8" s="134">
        <f>SUMIFS(Table_Query_from_MS_Access_Database_16[[#All],[Total]],Table_Query_from_MS_Access_Database_16[[#All],[Transaction Year]],"2015",Table_Query_from_MS_Access_Database_16[[#All],[Transaction Type]],"repayment In")</f>
        <v>1515000</v>
      </c>
      <c r="S8" s="37"/>
    </row>
    <row r="9" spans="1:19" x14ac:dyDescent="0.3">
      <c r="A9" s="181" t="s">
        <v>106</v>
      </c>
      <c r="B9" s="181"/>
      <c r="C9" s="181"/>
      <c r="D9" s="181"/>
      <c r="E9" s="181"/>
      <c r="F9" s="181"/>
      <c r="G9" s="181"/>
      <c r="H9" s="181"/>
      <c r="I9" s="181"/>
      <c r="J9" s="181"/>
      <c r="K9" s="181"/>
      <c r="L9" s="181"/>
      <c r="M9" s="109" t="s">
        <v>84</v>
      </c>
      <c r="N9" s="131">
        <f>SUMIFS(Table_Query_from_MS_Access_Database[[#All],[HSIP]],Table_Query_from_MS_Access_Database[[#All],[Transaction Year]],"2015",Table_Query_from_MS_Access_Database[[#All],[Transaction Type]],"repayment Out")</f>
        <v>0</v>
      </c>
      <c r="O9" s="132">
        <f>SUMIFS(Table_Query_from_MS_Access_Database[[#All],[SPR]],Table_Query_from_MS_Access_Database[[#All],[Transaction Year]],"2015",Table_Query_from_MS_Access_Database[[#All],[Transaction Type]],"repayment Out")</f>
        <v>0</v>
      </c>
      <c r="P9" s="133">
        <f>SUMIFS(Table_Query_from_MS_Access_Database[[#All],[STP other]],Table_Query_from_MS_Access_Database[[#All],[Transaction Year]],"2015",Table_Query_from_MS_Access_Database[[#All],[Transaction Type]],"repayment Out")</f>
        <v>-1727090</v>
      </c>
      <c r="Q9" s="130">
        <f t="shared" si="0"/>
        <v>-1727090</v>
      </c>
      <c r="R9" s="134">
        <f>SUMIFS(Table_Query_from_MS_Access_Database_16[[#All],[Total]],Table_Query_from_MS_Access_Database_16[[#All],[Transaction Year]],"2015",Table_Query_from_MS_Access_Database_16[[#All],[Transaction Type]],"Repayment Out")</f>
        <v>-1715000</v>
      </c>
      <c r="S9" s="37"/>
    </row>
    <row r="10" spans="1:19" x14ac:dyDescent="0.3">
      <c r="M10" s="109" t="s">
        <v>85</v>
      </c>
      <c r="N10" s="131">
        <f>SUMIFS(Table_Query_from_MS_Access_Database[[#All],[HSIP]],Table_Query_from_MS_Access_Database[[#All],[Transaction Year]],"2015",Table_Query_from_MS_Access_Database[[#All],[Transaction Type]],"Transfer in")</f>
        <v>0</v>
      </c>
      <c r="O10" s="132">
        <f>SUMIFS(Table_Query_from_MS_Access_Database[[#All],[SPR]],Table_Query_from_MS_Access_Database[[#All],[Transaction Year]],"2015",Table_Query_from_MS_Access_Database[[#All],[Transaction Type]],"Transfer in")</f>
        <v>0</v>
      </c>
      <c r="P10" s="133">
        <f>SUMIFS(Table_Query_from_MS_Access_Database[[#All],[STP other]],Table_Query_from_MS_Access_Database[[#All],[Transaction Year]],"2015",Table_Query_from_MS_Access_Database[[#All],[Transaction Type]],"Transfer in")</f>
        <v>302770</v>
      </c>
      <c r="Q10" s="130">
        <f t="shared" si="0"/>
        <v>302770</v>
      </c>
      <c r="R10" s="134">
        <f>SUMIFS(Table_Query_from_MS_Access_Database_16[[#All],[Total]],Table_Query_from_MS_Access_Database_16[[#All],[Transaction Year]],"2015",Table_Query_from_MS_Access_Database_16[[#All],[Transaction Type]],"Transfer In")</f>
        <v>289145</v>
      </c>
    </row>
    <row r="11" spans="1:19" x14ac:dyDescent="0.3">
      <c r="F11" s="44"/>
      <c r="G11" s="44"/>
      <c r="M11" s="109" t="s">
        <v>86</v>
      </c>
      <c r="N11" s="131">
        <f>SUMIFS(Table_Query_from_MS_Access_Database[[#All],[HSIP]],Table_Query_from_MS_Access_Database[[#All],[Transaction Year]],"2015",Table_Query_from_MS_Access_Database[[#All],[Transaction Type]],"Transfer Out")</f>
        <v>0</v>
      </c>
      <c r="O11" s="132">
        <f>SUMIFS(Table_Query_from_MS_Access_Database[[#All],[SPR]],Table_Query_from_MS_Access_Database[[#All],[Transaction Year]],"2015",Table_Query_from_MS_Access_Database[[#All],[Transaction Type]],"Transfer Out")</f>
        <v>0</v>
      </c>
      <c r="P11" s="133">
        <f>SUMIFS(Table_Query_from_MS_Access_Database[[#All],[STP other]],Table_Query_from_MS_Access_Database[[#All],[Transaction Year]],"2015",Table_Query_from_MS_Access_Database[[#All],[Transaction Type]],"Transfer Out")</f>
        <v>0</v>
      </c>
      <c r="Q11" s="130">
        <f t="shared" si="0"/>
        <v>0</v>
      </c>
      <c r="R11" s="134">
        <f>SUMIFS(Table_Query_from_MS_Access_Database_16[[#All],[Total]],Table_Query_from_MS_Access_Database_16[[#All],[Transaction Year]],"2015",Table_Query_from_MS_Access_Database_16[[#All],[Transaction Type]],"Transfer Out")</f>
        <v>0</v>
      </c>
      <c r="S11" s="42"/>
    </row>
    <row r="12" spans="1:19" ht="26.4" x14ac:dyDescent="0.3">
      <c r="M12" s="110" t="s">
        <v>107</v>
      </c>
      <c r="N12" s="135">
        <f>SUM(N4:N11)</f>
        <v>256072</v>
      </c>
      <c r="O12" s="136">
        <f>SUM(O4:O11)</f>
        <v>125000</v>
      </c>
      <c r="P12" s="136">
        <f>SUM(P4:P11)</f>
        <v>527405</v>
      </c>
      <c r="Q12" s="137">
        <f t="shared" si="0"/>
        <v>908477</v>
      </c>
      <c r="R12" s="135">
        <f>SUM(R4:R11)</f>
        <v>814751</v>
      </c>
      <c r="S12" s="42"/>
    </row>
    <row r="13" spans="1:19" x14ac:dyDescent="0.3">
      <c r="N13" s="45"/>
      <c r="O13" s="46"/>
      <c r="P13" s="46"/>
      <c r="Q13" s="46"/>
      <c r="R13" s="46"/>
      <c r="S13" s="46"/>
    </row>
    <row r="14" spans="1:19" ht="16.8" x14ac:dyDescent="0.3">
      <c r="A14" s="177" t="s">
        <v>72</v>
      </c>
      <c r="B14" s="177"/>
      <c r="C14" s="177"/>
      <c r="D14" s="177"/>
      <c r="J14" s="184" t="s">
        <v>74</v>
      </c>
      <c r="K14" s="185"/>
      <c r="L14" s="185"/>
      <c r="M14" s="186"/>
      <c r="N14" s="47"/>
      <c r="R14" s="48"/>
      <c r="S14" s="48"/>
    </row>
    <row r="15" spans="1:19" s="86" customFormat="1" ht="26.4" x14ac:dyDescent="0.3">
      <c r="A15" s="83" t="s">
        <v>1</v>
      </c>
      <c r="B15" s="84" t="s">
        <v>0</v>
      </c>
      <c r="C15" s="84" t="s">
        <v>3</v>
      </c>
      <c r="D15" s="84" t="s">
        <v>96</v>
      </c>
      <c r="E15" s="84" t="s">
        <v>2</v>
      </c>
      <c r="F15" s="84" t="s">
        <v>54</v>
      </c>
      <c r="G15" s="84" t="s">
        <v>55</v>
      </c>
      <c r="H15" s="84" t="s">
        <v>56</v>
      </c>
      <c r="I15" s="84" t="s">
        <v>62</v>
      </c>
      <c r="J15" s="85" t="s">
        <v>57</v>
      </c>
      <c r="K15" s="85" t="s">
        <v>58</v>
      </c>
      <c r="L15" s="85" t="s">
        <v>59</v>
      </c>
      <c r="M15" s="85" t="s">
        <v>60</v>
      </c>
      <c r="N15" s="84" t="s">
        <v>4</v>
      </c>
      <c r="O15" s="84" t="s">
        <v>5</v>
      </c>
      <c r="P15" s="84" t="s">
        <v>61</v>
      </c>
      <c r="Q15" s="84" t="s">
        <v>97</v>
      </c>
      <c r="R15" s="81" t="s">
        <v>98</v>
      </c>
      <c r="S15" s="51"/>
    </row>
    <row r="16" spans="1:19" s="114" customFormat="1" ht="26.4" x14ac:dyDescent="0.3">
      <c r="A16" s="82" t="s">
        <v>190</v>
      </c>
      <c r="B16" s="52" t="s">
        <v>191</v>
      </c>
      <c r="C16" s="52" t="s">
        <v>192</v>
      </c>
      <c r="D16" s="52" t="s">
        <v>21</v>
      </c>
      <c r="E16" s="52" t="s">
        <v>193</v>
      </c>
      <c r="F16" s="52" t="s">
        <v>194</v>
      </c>
      <c r="G16" s="53" t="s">
        <v>198</v>
      </c>
      <c r="H16" s="53" t="s">
        <v>205</v>
      </c>
      <c r="I16" s="53"/>
      <c r="J16" s="112"/>
      <c r="K16" s="149">
        <v>41936</v>
      </c>
      <c r="L16" s="149">
        <v>41975</v>
      </c>
      <c r="M16" s="149">
        <v>41978</v>
      </c>
      <c r="N16" s="126">
        <v>-38862</v>
      </c>
      <c r="O16" s="126"/>
      <c r="P16" s="126"/>
      <c r="Q16" s="126">
        <f>+Table_Query_from_MS_Access_Database_1[[#This Row],[HSIP]]+Table_Query_from_MS_Access_Database_1[[#This Row],[SPR]]+Table_Query_from_MS_Access_Database_1[[#This Row],[STP OTHER]]</f>
        <v>-38862</v>
      </c>
      <c r="R16" s="127">
        <f>R12-Table_Query_from_MS_Access_Database_1[TOTAL OF  AMOUNT]</f>
        <v>853613</v>
      </c>
      <c r="S16" s="113"/>
    </row>
    <row r="17" spans="1:19" s="57" customFormat="1" ht="26.4" x14ac:dyDescent="0.3">
      <c r="A17" s="82" t="s">
        <v>211</v>
      </c>
      <c r="B17" s="52"/>
      <c r="C17" s="52" t="s">
        <v>212</v>
      </c>
      <c r="D17" s="52" t="s">
        <v>9</v>
      </c>
      <c r="E17" s="52" t="s">
        <v>213</v>
      </c>
      <c r="F17" s="52" t="s">
        <v>194</v>
      </c>
      <c r="G17" s="53" t="s">
        <v>198</v>
      </c>
      <c r="H17" s="53" t="s">
        <v>214</v>
      </c>
      <c r="I17" s="53"/>
      <c r="J17" s="112"/>
      <c r="K17" s="149">
        <v>42055</v>
      </c>
      <c r="L17" s="149">
        <v>42055</v>
      </c>
      <c r="M17" s="149">
        <v>42087</v>
      </c>
      <c r="N17" s="126"/>
      <c r="O17" s="126"/>
      <c r="P17" s="126">
        <v>-46817.63</v>
      </c>
      <c r="Q17" s="126">
        <f>+Table_Query_from_MS_Access_Database_1[[#This Row],[HSIP]]+Table_Query_from_MS_Access_Database_1[[#This Row],[SPR]]+Table_Query_from_MS_Access_Database_1[[#This Row],[STP OTHER]]</f>
        <v>-46817.63</v>
      </c>
      <c r="R17" s="156">
        <f>R16-Table_Query_from_MS_Access_Database_1[TOTAL OF  AMOUNT]</f>
        <v>900430.63</v>
      </c>
      <c r="S17" s="115"/>
    </row>
    <row r="18" spans="1:19" s="57" customFormat="1" ht="13.2" x14ac:dyDescent="0.3">
      <c r="A18" s="150" t="s">
        <v>215</v>
      </c>
      <c r="B18" s="151"/>
      <c r="C18" s="151" t="s">
        <v>116</v>
      </c>
      <c r="D18" s="151" t="s">
        <v>8</v>
      </c>
      <c r="E18" s="151" t="s">
        <v>235</v>
      </c>
      <c r="F18" s="151" t="s">
        <v>216</v>
      </c>
      <c r="G18" s="152" t="s">
        <v>217</v>
      </c>
      <c r="H18" s="152" t="s">
        <v>218</v>
      </c>
      <c r="I18" s="152"/>
      <c r="J18" s="153"/>
      <c r="K18" s="154">
        <v>42073</v>
      </c>
      <c r="L18" s="154">
        <v>42093</v>
      </c>
      <c r="M18" s="154">
        <v>42101</v>
      </c>
      <c r="N18" s="155"/>
      <c r="O18" s="155">
        <v>93750</v>
      </c>
      <c r="P18" s="155"/>
      <c r="Q18" s="155">
        <f>+Table_Query_from_MS_Access_Database_1[[#This Row],[HSIP]]+Table_Query_from_MS_Access_Database_1[[#This Row],[SPR]]+Table_Query_from_MS_Access_Database_1[[#This Row],[STP OTHER]]</f>
        <v>93750</v>
      </c>
      <c r="R18" s="156">
        <f>R17-Table_Query_from_MS_Access_Database_1[TOTAL OF  AMOUNT]</f>
        <v>806680.63</v>
      </c>
      <c r="S18" s="115"/>
    </row>
    <row r="19" spans="1:19" s="57" customFormat="1" ht="26.4" x14ac:dyDescent="0.3">
      <c r="A19" s="157" t="s">
        <v>222</v>
      </c>
      <c r="B19" s="158" t="s">
        <v>223</v>
      </c>
      <c r="C19" s="158" t="s">
        <v>224</v>
      </c>
      <c r="D19" s="158" t="s">
        <v>21</v>
      </c>
      <c r="E19" s="158" t="s">
        <v>225</v>
      </c>
      <c r="F19" s="158" t="s">
        <v>226</v>
      </c>
      <c r="G19" s="159" t="s">
        <v>198</v>
      </c>
      <c r="H19" s="159" t="s">
        <v>227</v>
      </c>
      <c r="I19" s="159"/>
      <c r="J19" s="160"/>
      <c r="K19" s="161">
        <v>42003</v>
      </c>
      <c r="L19" s="161">
        <v>42110</v>
      </c>
      <c r="M19" s="161">
        <v>42114</v>
      </c>
      <c r="N19" s="162">
        <v>172699</v>
      </c>
      <c r="O19" s="162"/>
      <c r="P19" s="162"/>
      <c r="Q19" s="162">
        <f>+Table_Query_from_MS_Access_Database_1[[#This Row],[HSIP]]+Table_Query_from_MS_Access_Database_1[[#This Row],[SPR]]+Table_Query_from_MS_Access_Database_1[[#This Row],[STP OTHER]]</f>
        <v>172699</v>
      </c>
      <c r="R19" s="156">
        <f>R18-Table_Query_from_MS_Access_Database_1[TOTAL OF  AMOUNT]</f>
        <v>633981.63</v>
      </c>
      <c r="S19" s="77"/>
    </row>
    <row r="20" spans="1:19" s="57" customFormat="1" ht="13.2" x14ac:dyDescent="0.3">
      <c r="A20" s="163" t="s">
        <v>219</v>
      </c>
      <c r="B20" s="165"/>
      <c r="C20" s="165" t="s">
        <v>113</v>
      </c>
      <c r="D20" s="165" t="s">
        <v>7</v>
      </c>
      <c r="E20" s="165" t="s">
        <v>220</v>
      </c>
      <c r="F20" s="165" t="s">
        <v>203</v>
      </c>
      <c r="G20" s="167" t="s">
        <v>204</v>
      </c>
      <c r="H20" s="167" t="s">
        <v>221</v>
      </c>
      <c r="I20" s="167"/>
      <c r="J20" s="169"/>
      <c r="K20" s="171">
        <v>42087</v>
      </c>
      <c r="L20" s="171">
        <v>42131</v>
      </c>
      <c r="M20" s="171">
        <v>42136</v>
      </c>
      <c r="N20" s="173"/>
      <c r="O20" s="173"/>
      <c r="P20" s="173">
        <v>5000</v>
      </c>
      <c r="Q20" s="173">
        <f>+Table_Query_from_MS_Access_Database_1[[#This Row],[HSIP]]+Table_Query_from_MS_Access_Database_1[[#This Row],[SPR]]+Table_Query_from_MS_Access_Database_1[[#This Row],[STP OTHER]]</f>
        <v>5000</v>
      </c>
      <c r="R20" s="156">
        <f>R19-Table_Query_from_MS_Access_Database_1[TOTAL OF  AMOUNT]</f>
        <v>628981.63</v>
      </c>
    </row>
    <row r="21" spans="1:19" s="57" customFormat="1" ht="13.2" x14ac:dyDescent="0.3">
      <c r="A21" s="164" t="s">
        <v>228</v>
      </c>
      <c r="B21" s="166"/>
      <c r="C21" s="166" t="s">
        <v>116</v>
      </c>
      <c r="D21" s="166" t="s">
        <v>7</v>
      </c>
      <c r="E21" s="166" t="s">
        <v>229</v>
      </c>
      <c r="F21" s="166" t="s">
        <v>230</v>
      </c>
      <c r="G21" s="168" t="s">
        <v>204</v>
      </c>
      <c r="H21" s="168" t="s">
        <v>231</v>
      </c>
      <c r="I21" s="168"/>
      <c r="J21" s="170"/>
      <c r="K21" s="172">
        <v>42146</v>
      </c>
      <c r="L21" s="172">
        <v>42170</v>
      </c>
      <c r="M21" s="172">
        <v>42171</v>
      </c>
      <c r="N21" s="174"/>
      <c r="O21" s="174"/>
      <c r="P21" s="174">
        <v>62000</v>
      </c>
      <c r="Q21" s="174">
        <f>+Table_Query_from_MS_Access_Database_1[[#This Row],[HSIP]]+Table_Query_from_MS_Access_Database_1[[#This Row],[SPR]]+Table_Query_from_MS_Access_Database_1[[#This Row],[STP OTHER]]</f>
        <v>62000</v>
      </c>
      <c r="R21" s="156">
        <f>R20-Table_Query_from_MS_Access_Database_1[TOTAL OF  AMOUNT]</f>
        <v>566981.63</v>
      </c>
    </row>
    <row r="22" spans="1:19" s="57" customFormat="1" ht="13.2" x14ac:dyDescent="0.3">
      <c r="A22" s="150" t="s">
        <v>232</v>
      </c>
      <c r="B22" s="151" t="s">
        <v>233</v>
      </c>
      <c r="C22" s="151" t="s">
        <v>196</v>
      </c>
      <c r="D22" s="151" t="s">
        <v>9</v>
      </c>
      <c r="E22" s="151" t="s">
        <v>234</v>
      </c>
      <c r="F22" s="151" t="s">
        <v>197</v>
      </c>
      <c r="G22" s="152" t="s">
        <v>198</v>
      </c>
      <c r="H22" s="152" t="s">
        <v>227</v>
      </c>
      <c r="I22" s="152"/>
      <c r="J22" s="153"/>
      <c r="K22" s="154">
        <v>42167</v>
      </c>
      <c r="L22" s="154">
        <v>42167</v>
      </c>
      <c r="M22" s="154">
        <v>42174</v>
      </c>
      <c r="N22" s="155">
        <v>-6496.09</v>
      </c>
      <c r="O22" s="155"/>
      <c r="P22" s="155"/>
      <c r="Q22" s="155">
        <f>+Table_Query_from_MS_Access_Database_1[[#This Row],[HSIP]]+Table_Query_from_MS_Access_Database_1[[#This Row],[SPR]]+Table_Query_from_MS_Access_Database_1[[#This Row],[STP OTHER]]</f>
        <v>-6496.09</v>
      </c>
      <c r="R22" s="156">
        <f>R21-Table_Query_from_MS_Access_Database_1[TOTAL OF  AMOUNT]</f>
        <v>573477.72</v>
      </c>
    </row>
    <row r="23" spans="1:19" s="58" customFormat="1" ht="13.2" x14ac:dyDescent="0.3">
      <c r="A23" s="150" t="s">
        <v>236</v>
      </c>
      <c r="B23" s="151"/>
      <c r="C23" s="151" t="s">
        <v>116</v>
      </c>
      <c r="D23" s="151" t="s">
        <v>7</v>
      </c>
      <c r="E23" s="151" t="s">
        <v>237</v>
      </c>
      <c r="F23" s="151" t="s">
        <v>216</v>
      </c>
      <c r="G23" s="152" t="s">
        <v>217</v>
      </c>
      <c r="H23" s="152" t="s">
        <v>238</v>
      </c>
      <c r="I23" s="152"/>
      <c r="J23" s="153"/>
      <c r="K23" s="154">
        <v>42208</v>
      </c>
      <c r="L23" s="154">
        <v>42228</v>
      </c>
      <c r="M23" s="154">
        <v>42233</v>
      </c>
      <c r="N23" s="155"/>
      <c r="O23" s="155">
        <v>31250</v>
      </c>
      <c r="P23" s="155"/>
      <c r="Q23" s="155">
        <f>+Table_Query_from_MS_Access_Database_1[[#This Row],[HSIP]]+Table_Query_from_MS_Access_Database_1[[#This Row],[SPR]]+Table_Query_from_MS_Access_Database_1[[#This Row],[STP OTHER]]</f>
        <v>31250</v>
      </c>
      <c r="R23" s="156">
        <f>R22-Table_Query_from_MS_Access_Database_1[TOTAL OF  AMOUNT]</f>
        <v>542227.72</v>
      </c>
      <c r="S23" s="116"/>
    </row>
    <row r="24" spans="1:19" s="57" customFormat="1" ht="13.2" x14ac:dyDescent="0.3">
      <c r="A24" s="150" t="s">
        <v>199</v>
      </c>
      <c r="B24" s="151" t="s">
        <v>200</v>
      </c>
      <c r="C24" s="151" t="s">
        <v>196</v>
      </c>
      <c r="D24" s="151" t="s">
        <v>7</v>
      </c>
      <c r="E24" s="151" t="s">
        <v>201</v>
      </c>
      <c r="F24" s="151" t="s">
        <v>197</v>
      </c>
      <c r="G24" s="152" t="s">
        <v>198</v>
      </c>
      <c r="H24" s="152" t="s">
        <v>202</v>
      </c>
      <c r="I24" s="152"/>
      <c r="J24" s="153">
        <v>42217</v>
      </c>
      <c r="K24" s="154">
        <v>42181</v>
      </c>
      <c r="L24" s="154">
        <v>42243</v>
      </c>
      <c r="M24" s="154">
        <v>42248</v>
      </c>
      <c r="N24" s="155"/>
      <c r="O24" s="155"/>
      <c r="P24" s="155">
        <v>506980</v>
      </c>
      <c r="Q24" s="155">
        <f>+Table_Query_from_MS_Access_Database_1[[#This Row],[HSIP]]+Table_Query_from_MS_Access_Database_1[[#This Row],[SPR]]+Table_Query_from_MS_Access_Database_1[[#This Row],[STP OTHER]]</f>
        <v>506980</v>
      </c>
      <c r="R24" s="156">
        <f>R23-Table_Query_from_MS_Access_Database_1[TOTAL OF  AMOUNT]</f>
        <v>35247.719999999972</v>
      </c>
      <c r="S24" s="77"/>
    </row>
    <row r="25" spans="1:19" s="57" customFormat="1" ht="13.2" x14ac:dyDescent="0.3">
      <c r="F25" s="58"/>
      <c r="G25" s="58"/>
      <c r="H25" s="58"/>
      <c r="I25" s="58"/>
      <c r="J25" s="59"/>
      <c r="K25" s="59"/>
      <c r="L25" s="59"/>
      <c r="M25" s="60" t="s">
        <v>88</v>
      </c>
      <c r="N25" s="139">
        <f>SUM(Table_Query_from_MS_Access_Database_1[HSIP])</f>
        <v>127340.91</v>
      </c>
      <c r="O25" s="139">
        <f>SUM(Table_Query_from_MS_Access_Database_1[SPR])</f>
        <v>125000</v>
      </c>
      <c r="P25" s="139">
        <f>SUM(Table_Query_from_MS_Access_Database_1[STP OTHER])</f>
        <v>527162.37</v>
      </c>
      <c r="Q25" s="139">
        <f>SUM(Table_Query_from_MS_Access_Database_1[TOTAL OF  AMOUNT])</f>
        <v>779503.28</v>
      </c>
      <c r="R25" s="140"/>
      <c r="S25" s="77"/>
    </row>
    <row r="26" spans="1:19" s="57" customFormat="1" ht="13.2" x14ac:dyDescent="0.3">
      <c r="A26" s="49"/>
      <c r="B26" s="49"/>
      <c r="C26" s="49"/>
      <c r="D26" s="49"/>
      <c r="E26" s="49"/>
      <c r="F26" s="49"/>
      <c r="G26" s="49"/>
      <c r="H26" s="49"/>
      <c r="I26" s="49"/>
      <c r="J26" s="61"/>
      <c r="K26" s="61"/>
      <c r="L26" s="61"/>
      <c r="M26" s="62" t="s">
        <v>87</v>
      </c>
      <c r="N26" s="138">
        <f>+N12-N25</f>
        <v>128731.09</v>
      </c>
      <c r="O26" s="138">
        <f>+O12-O25</f>
        <v>0</v>
      </c>
      <c r="P26" s="138">
        <f>+P12-P25</f>
        <v>242.63000000000466</v>
      </c>
      <c r="Q26" s="138">
        <f>+Q12-Q25</f>
        <v>128973.71999999997</v>
      </c>
      <c r="R26" s="140"/>
    </row>
    <row r="27" spans="1:19" s="57" customFormat="1" x14ac:dyDescent="0.3">
      <c r="A27" s="50"/>
      <c r="B27" s="50"/>
      <c r="C27" s="50"/>
      <c r="D27" s="50"/>
      <c r="E27" s="50"/>
      <c r="F27" s="50"/>
      <c r="G27" s="50"/>
      <c r="H27" s="50"/>
      <c r="I27" s="50"/>
      <c r="J27" s="63"/>
      <c r="K27" s="63"/>
      <c r="L27" s="63"/>
      <c r="M27" s="64"/>
      <c r="N27" s="48"/>
      <c r="O27" s="48"/>
      <c r="P27" s="48"/>
      <c r="Q27" s="48"/>
      <c r="R27" s="54"/>
    </row>
    <row r="28" spans="1:19" s="57" customFormat="1" ht="16.8" x14ac:dyDescent="0.35">
      <c r="A28" s="177" t="s">
        <v>37</v>
      </c>
      <c r="B28" s="177"/>
      <c r="C28" s="177"/>
      <c r="D28" s="177"/>
      <c r="E28" s="65"/>
      <c r="F28" s="65"/>
      <c r="G28" s="66"/>
      <c r="H28" s="66"/>
      <c r="I28" s="66"/>
      <c r="J28" s="67"/>
      <c r="K28" s="68"/>
      <c r="L28" s="68"/>
      <c r="M28" s="68"/>
      <c r="N28" s="69"/>
      <c r="O28" s="48"/>
      <c r="P28" s="48"/>
      <c r="Q28" s="50"/>
      <c r="R28" s="50"/>
    </row>
    <row r="29" spans="1:19" s="57" customFormat="1" ht="39.6" x14ac:dyDescent="0.3">
      <c r="A29" s="70" t="s">
        <v>1</v>
      </c>
      <c r="B29" s="71" t="s">
        <v>0</v>
      </c>
      <c r="C29" s="71" t="s">
        <v>3</v>
      </c>
      <c r="D29" s="71" t="s">
        <v>96</v>
      </c>
      <c r="E29" s="71" t="s">
        <v>2</v>
      </c>
      <c r="F29" s="71" t="s">
        <v>54</v>
      </c>
      <c r="G29" s="71" t="s">
        <v>55</v>
      </c>
      <c r="H29" s="71" t="s">
        <v>56</v>
      </c>
      <c r="I29" s="71" t="s">
        <v>62</v>
      </c>
      <c r="J29" s="71" t="s">
        <v>57</v>
      </c>
      <c r="K29" s="71" t="s">
        <v>58</v>
      </c>
      <c r="L29" s="71" t="s">
        <v>59</v>
      </c>
      <c r="M29" s="71" t="s">
        <v>60</v>
      </c>
      <c r="N29" s="72" t="s">
        <v>4</v>
      </c>
      <c r="O29" s="73" t="s">
        <v>5</v>
      </c>
      <c r="P29" s="72" t="s">
        <v>61</v>
      </c>
      <c r="Q29" s="72" t="s">
        <v>104</v>
      </c>
      <c r="R29" s="125" t="s">
        <v>63</v>
      </c>
    </row>
    <row r="30" spans="1:19" s="57" customFormat="1" ht="13.2" x14ac:dyDescent="0.3">
      <c r="A30" s="82"/>
      <c r="B30" s="52"/>
      <c r="C30" s="52"/>
      <c r="D30" s="52"/>
      <c r="E30" s="52"/>
      <c r="F30" s="74"/>
      <c r="G30" s="74"/>
      <c r="H30" s="74"/>
      <c r="I30" s="74" t="str">
        <f>CONCATENATE(Table_Query_from_MS_Access_Database_2[RTE],Table_Query_from_MS_Access_Database_2[SEC],Table_Query_from_MS_Access_Database_2[SEQ])</f>
        <v/>
      </c>
      <c r="J30" s="75"/>
      <c r="K30" s="75"/>
      <c r="L30" s="75"/>
      <c r="M30" s="75"/>
      <c r="N30" s="141"/>
      <c r="O30" s="145"/>
      <c r="P30" s="141"/>
      <c r="Q30" s="142">
        <f>+Table_Query_from_MS_Access_Database_2[HSIP]+Table_Query_from_MS_Access_Database_2[SPR]+Table_Query_from_MS_Access_Database_2[STP OTHER]</f>
        <v>0</v>
      </c>
      <c r="R30" s="143">
        <f>R24-Table_Query_from_MS_Access_Database_2[TOTAL OF AMOUNT]</f>
        <v>35247.719999999972</v>
      </c>
    </row>
    <row r="31" spans="1:19" s="57" customFormat="1" ht="13.2" x14ac:dyDescent="0.3">
      <c r="J31" s="76"/>
      <c r="K31" s="76"/>
      <c r="L31" s="76"/>
      <c r="M31" s="60" t="s">
        <v>105</v>
      </c>
      <c r="N31" s="139">
        <f>SUM(Table_Query_from_MS_Access_Database_2[[#All],[HSIP]])</f>
        <v>0</v>
      </c>
      <c r="O31" s="139">
        <f>SUM(Table_Query_from_MS_Access_Database_2[[#All],[SPR]])</f>
        <v>0</v>
      </c>
      <c r="P31" s="139">
        <f>SUM(Table_Query_from_MS_Access_Database_2[[#All],[STP OTHER]])</f>
        <v>0</v>
      </c>
      <c r="Q31" s="139">
        <f>SUM(Table_Query_from_MS_Access_Database_2[[#All],[TOTAL OF AMOUNT]])</f>
        <v>0</v>
      </c>
      <c r="R31" s="144"/>
    </row>
    <row r="32" spans="1:19" s="57" customFormat="1" ht="13.2" x14ac:dyDescent="0.3">
      <c r="B32" s="78"/>
      <c r="C32" s="78"/>
      <c r="D32" s="78"/>
      <c r="J32" s="76"/>
      <c r="K32" s="76"/>
      <c r="L32" s="76"/>
      <c r="M32" s="62" t="s">
        <v>87</v>
      </c>
      <c r="N32" s="138">
        <f>+N26-N31</f>
        <v>128731.09</v>
      </c>
      <c r="O32" s="138">
        <f>+O26-O31</f>
        <v>0</v>
      </c>
      <c r="P32" s="138">
        <f>+P26-P31</f>
        <v>242.63000000000466</v>
      </c>
      <c r="Q32" s="138">
        <f>+Q26-Q31</f>
        <v>128973.71999999997</v>
      </c>
      <c r="R32" s="140"/>
    </row>
    <row r="33" spans="1:18" s="57" customFormat="1" x14ac:dyDescent="0.3">
      <c r="A33" s="54"/>
      <c r="B33" s="54"/>
      <c r="C33" s="54"/>
      <c r="D33" s="54"/>
      <c r="E33" s="54"/>
      <c r="F33" s="54"/>
      <c r="G33" s="54"/>
      <c r="H33" s="54"/>
      <c r="I33" s="54"/>
      <c r="J33" s="55"/>
      <c r="K33" s="55"/>
      <c r="L33" s="55"/>
      <c r="M33" s="55"/>
      <c r="N33" s="56"/>
      <c r="O33" s="56"/>
      <c r="P33" s="56"/>
      <c r="Q33" s="56"/>
      <c r="R33" s="54"/>
    </row>
    <row r="34" spans="1:18" s="57" customFormat="1" x14ac:dyDescent="0.3">
      <c r="A34" s="54"/>
      <c r="B34" s="54"/>
      <c r="C34" s="54"/>
      <c r="D34" s="54"/>
      <c r="E34" s="54"/>
      <c r="F34" s="54"/>
      <c r="G34" s="54"/>
      <c r="H34" s="54"/>
      <c r="I34" s="54"/>
      <c r="J34" s="55"/>
      <c r="K34" s="55"/>
      <c r="L34" s="55"/>
      <c r="M34" s="55"/>
      <c r="N34" s="56"/>
      <c r="O34" s="56"/>
      <c r="P34" s="56"/>
      <c r="Q34" s="56"/>
      <c r="R34" s="54"/>
    </row>
    <row r="35" spans="1:18" s="57" customFormat="1" ht="16.8" x14ac:dyDescent="0.3">
      <c r="A35" s="79" t="s">
        <v>89</v>
      </c>
      <c r="B35" s="54"/>
      <c r="C35" s="54"/>
      <c r="D35" s="54"/>
      <c r="E35" s="54"/>
      <c r="F35" s="54"/>
      <c r="G35" s="54"/>
      <c r="H35" s="54"/>
      <c r="I35" s="54"/>
      <c r="J35" s="55"/>
      <c r="K35" s="55"/>
      <c r="L35" s="55"/>
      <c r="M35" s="55"/>
      <c r="N35" s="175" t="s">
        <v>68</v>
      </c>
      <c r="O35" s="175"/>
      <c r="P35" s="175"/>
      <c r="Q35" s="175"/>
      <c r="R35" s="65"/>
    </row>
    <row r="36" spans="1:18" s="57" customFormat="1" x14ac:dyDescent="0.3">
      <c r="A36" s="54"/>
      <c r="B36" s="54"/>
      <c r="C36" s="54"/>
      <c r="D36" s="54"/>
      <c r="E36" s="54"/>
      <c r="F36" s="54"/>
      <c r="G36" s="54"/>
      <c r="H36" s="54"/>
      <c r="I36" s="54"/>
      <c r="J36" s="55"/>
      <c r="K36" s="55"/>
      <c r="L36" s="55"/>
      <c r="M36" s="80"/>
      <c r="N36" s="107" t="s">
        <v>4</v>
      </c>
      <c r="O36" s="107" t="s">
        <v>5</v>
      </c>
      <c r="P36" s="107" t="s">
        <v>69</v>
      </c>
      <c r="Q36" s="107" t="s">
        <v>64</v>
      </c>
      <c r="R36" s="98" t="s">
        <v>70</v>
      </c>
    </row>
    <row r="37" spans="1:18" s="57" customFormat="1" ht="13.2" x14ac:dyDescent="0.3">
      <c r="J37" s="76"/>
      <c r="K37" s="76"/>
      <c r="L37" s="76"/>
      <c r="M37" s="117" t="s">
        <v>186</v>
      </c>
      <c r="N37" s="119">
        <f>+N32</f>
        <v>128731.09</v>
      </c>
      <c r="O37" s="119">
        <f>+O32</f>
        <v>0</v>
      </c>
      <c r="P37" s="119">
        <f>+P32</f>
        <v>242.63000000000466</v>
      </c>
      <c r="Q37" s="120">
        <f>SUM(N37:P37)</f>
        <v>128973.72</v>
      </c>
      <c r="R37" s="121">
        <f>R30</f>
        <v>35247.719999999972</v>
      </c>
    </row>
    <row r="38" spans="1:18" s="57" customFormat="1" ht="13.2" x14ac:dyDescent="0.3">
      <c r="J38" s="76"/>
      <c r="K38" s="76"/>
      <c r="L38" s="76"/>
      <c r="M38" s="117" t="s">
        <v>187</v>
      </c>
      <c r="N38" s="122">
        <f>SUMIFS(Table_Query_from_MS_Access_Database[[#All],[HSIP]],Table_Query_from_MS_Access_Database[[#All],[Transaction Year]],"2015",Table_Query_from_MS_Access_Database[[#All],[Transaction Type]],"Lapsing")</f>
        <v>0</v>
      </c>
      <c r="O38" s="122">
        <f>SUMIFS(Table_Query_from_MS_Access_Database[[#All],[SPR]],Table_Query_from_MS_Access_Database[[#All],[Transaction Year]],"2015",Table_Query_from_MS_Access_Database[[#All],[Transaction Type]],"Lapsing")</f>
        <v>0</v>
      </c>
      <c r="P38" s="122">
        <f>SUMIFS(Table_Query_from_MS_Access_Database[[#All],[STP other]],Table_Query_from_MS_Access_Database[[#All],[Transaction Year]],"2015",Table_Query_from_MS_Access_Database[[#All],[Transaction Type]],"Lapsing")</f>
        <v>0</v>
      </c>
      <c r="Q38" s="122">
        <f>SUM(N38:P38)</f>
        <v>0</v>
      </c>
      <c r="R38" s="122">
        <f>SUMIFS(Table_Query_from_MS_Access_Database_16[[#All],[Total]],Table_Query_from_MS_Access_Database_16[[#All],[Transaction Year]],"2015",Table_Query_from_MS_Access_Database_16[[#All],[Transaction Type]],"Lapsing")</f>
        <v>0</v>
      </c>
    </row>
    <row r="39" spans="1:18" s="54" customFormat="1" x14ac:dyDescent="0.3">
      <c r="A39" s="57"/>
      <c r="B39" s="57"/>
      <c r="C39" s="57"/>
      <c r="D39" s="57"/>
      <c r="E39" s="57"/>
      <c r="F39" s="57"/>
      <c r="G39" s="57"/>
      <c r="H39" s="57"/>
      <c r="I39" s="57"/>
      <c r="J39" s="76"/>
      <c r="K39" s="76"/>
      <c r="L39" s="76"/>
      <c r="M39" s="117" t="s">
        <v>188</v>
      </c>
      <c r="N39" s="119">
        <f>SUM(N37:N38)</f>
        <v>128731.09</v>
      </c>
      <c r="O39" s="119">
        <f t="shared" ref="O39:P39" si="1">SUM(O37:O38)</f>
        <v>0</v>
      </c>
      <c r="P39" s="119">
        <f t="shared" si="1"/>
        <v>242.63000000000466</v>
      </c>
      <c r="Q39" s="119">
        <f>SUM(Q37:Q38)</f>
        <v>128973.72</v>
      </c>
      <c r="R39" s="119">
        <f>IF(O39&gt;R30,R30,R30-O39)</f>
        <v>35247.719999999972</v>
      </c>
    </row>
    <row r="40" spans="1:18" s="54" customFormat="1" x14ac:dyDescent="0.3">
      <c r="A40" s="57"/>
      <c r="B40" s="57"/>
      <c r="C40" s="57"/>
      <c r="D40" s="57"/>
      <c r="E40" s="57"/>
      <c r="F40" s="57"/>
      <c r="G40" s="57"/>
      <c r="H40" s="57"/>
      <c r="I40" s="57"/>
      <c r="J40" s="76"/>
      <c r="K40" s="76"/>
      <c r="L40" s="76"/>
      <c r="M40" s="118" t="s">
        <v>189</v>
      </c>
      <c r="N40" s="122">
        <f>+N32-N37</f>
        <v>0</v>
      </c>
      <c r="O40" s="122">
        <v>0</v>
      </c>
      <c r="P40" s="122">
        <f>+P32-P37</f>
        <v>0</v>
      </c>
      <c r="Q40" s="122">
        <v>0</v>
      </c>
      <c r="R40" s="122">
        <v>0</v>
      </c>
    </row>
    <row r="41" spans="1:18" s="54" customFormat="1" x14ac:dyDescent="0.3">
      <c r="J41" s="55"/>
      <c r="K41" s="55"/>
      <c r="L41" s="55"/>
      <c r="M41" s="55"/>
      <c r="N41" s="56"/>
      <c r="O41" s="56"/>
      <c r="P41" s="56"/>
      <c r="Q41" s="56"/>
    </row>
    <row r="42" spans="1:18" s="57" customFormat="1" x14ac:dyDescent="0.3">
      <c r="A42" s="33"/>
      <c r="B42" s="33"/>
      <c r="C42" s="33"/>
      <c r="D42" s="33"/>
      <c r="E42" s="33"/>
      <c r="F42" s="33"/>
      <c r="G42" s="33"/>
      <c r="H42" s="33"/>
      <c r="I42" s="33"/>
      <c r="J42" s="34"/>
      <c r="K42" s="34"/>
      <c r="L42" s="34"/>
      <c r="M42" s="34"/>
      <c r="N42" s="36"/>
      <c r="O42" s="36"/>
      <c r="P42" s="36"/>
      <c r="Q42" s="36"/>
      <c r="R42" s="33"/>
    </row>
    <row r="43" spans="1:18" s="57" customFormat="1" x14ac:dyDescent="0.3">
      <c r="A43" s="33"/>
      <c r="B43" s="33"/>
      <c r="C43" s="33"/>
      <c r="D43" s="33"/>
      <c r="E43" s="33"/>
      <c r="F43" s="33"/>
      <c r="G43" s="33"/>
      <c r="H43" s="33"/>
      <c r="I43" s="33"/>
      <c r="J43" s="34"/>
      <c r="K43" s="34"/>
      <c r="L43" s="34"/>
      <c r="M43" s="34"/>
      <c r="N43" s="36"/>
      <c r="O43" s="36"/>
      <c r="P43" s="36"/>
      <c r="Q43" s="36"/>
      <c r="R43" s="33"/>
    </row>
    <row r="44" spans="1:18" s="57" customFormat="1" x14ac:dyDescent="0.3">
      <c r="A44" s="33"/>
      <c r="B44" s="33"/>
      <c r="C44" s="33"/>
      <c r="D44" s="33"/>
      <c r="E44" s="33"/>
      <c r="F44" s="33"/>
      <c r="G44" s="33"/>
      <c r="H44" s="33"/>
      <c r="I44" s="33"/>
      <c r="J44" s="34"/>
      <c r="K44" s="34"/>
      <c r="L44" s="34"/>
      <c r="M44" s="34"/>
      <c r="N44" s="36"/>
      <c r="O44" s="36"/>
      <c r="P44" s="36"/>
      <c r="Q44" s="36"/>
      <c r="R44" s="33"/>
    </row>
    <row r="45" spans="1:18" s="57" customFormat="1" x14ac:dyDescent="0.3">
      <c r="A45" s="33"/>
      <c r="B45" s="33"/>
      <c r="C45" s="33"/>
      <c r="D45" s="33"/>
      <c r="E45" s="33"/>
      <c r="F45" s="33"/>
      <c r="G45" s="33"/>
      <c r="H45" s="33"/>
      <c r="I45" s="33"/>
      <c r="J45" s="34"/>
      <c r="K45" s="34"/>
      <c r="L45" s="34"/>
      <c r="M45" s="34"/>
      <c r="N45" s="36"/>
      <c r="O45" s="36"/>
      <c r="P45" s="36"/>
      <c r="Q45" s="36"/>
      <c r="R45" s="33"/>
    </row>
    <row r="46" spans="1:18" s="54" customFormat="1" x14ac:dyDescent="0.3">
      <c r="A46" s="33"/>
      <c r="B46" s="33"/>
      <c r="C46" s="33"/>
      <c r="D46" s="33"/>
      <c r="E46" s="33"/>
      <c r="F46" s="33"/>
      <c r="G46" s="33"/>
      <c r="H46" s="33"/>
      <c r="I46" s="33"/>
      <c r="J46" s="34"/>
      <c r="K46" s="34"/>
      <c r="L46" s="34"/>
      <c r="M46" s="34"/>
      <c r="N46" s="36"/>
      <c r="O46" s="36"/>
      <c r="P46" s="36"/>
      <c r="Q46" s="36"/>
      <c r="R46" s="33"/>
    </row>
    <row r="47" spans="1:18" s="54" customFormat="1" x14ac:dyDescent="0.3">
      <c r="A47" s="33"/>
      <c r="B47" s="33"/>
      <c r="C47" s="33"/>
      <c r="D47" s="33"/>
      <c r="E47" s="33"/>
      <c r="F47" s="33"/>
      <c r="G47" s="33"/>
      <c r="H47" s="33"/>
      <c r="I47" s="33"/>
      <c r="J47" s="34"/>
      <c r="K47" s="34"/>
      <c r="L47" s="34"/>
      <c r="M47" s="34"/>
      <c r="N47" s="36"/>
      <c r="O47" s="36"/>
      <c r="P47" s="36"/>
      <c r="Q47" s="36"/>
      <c r="R47" s="33"/>
    </row>
    <row r="48" spans="1:18" s="54" customFormat="1" x14ac:dyDescent="0.3">
      <c r="A48" s="33"/>
      <c r="B48" s="33"/>
      <c r="C48" s="33"/>
      <c r="D48" s="33"/>
      <c r="E48" s="33"/>
      <c r="F48" s="33"/>
      <c r="G48" s="33"/>
      <c r="H48" s="33"/>
      <c r="I48" s="33"/>
      <c r="J48" s="34"/>
      <c r="K48" s="34"/>
      <c r="L48" s="34"/>
      <c r="M48" s="34"/>
      <c r="N48" s="36"/>
      <c r="O48" s="36"/>
      <c r="P48" s="36"/>
      <c r="Q48" s="36"/>
      <c r="R48" s="33"/>
    </row>
    <row r="49" spans="1:18" s="54" customFormat="1" x14ac:dyDescent="0.3">
      <c r="A49" s="33"/>
      <c r="B49" s="33"/>
      <c r="C49" s="33"/>
      <c r="D49" s="33"/>
      <c r="E49" s="33"/>
      <c r="F49" s="33"/>
      <c r="G49" s="33"/>
      <c r="H49" s="33"/>
      <c r="I49" s="33"/>
      <c r="J49" s="34"/>
      <c r="K49" s="34"/>
      <c r="L49" s="34"/>
      <c r="M49" s="34"/>
      <c r="N49" s="36"/>
      <c r="O49" s="36"/>
      <c r="P49" s="36"/>
      <c r="Q49" s="36"/>
      <c r="R49" s="33"/>
    </row>
    <row r="50" spans="1:18" s="57" customFormat="1" x14ac:dyDescent="0.3">
      <c r="A50" s="33"/>
      <c r="B50" s="33"/>
      <c r="C50" s="33"/>
      <c r="D50" s="33"/>
      <c r="E50" s="33"/>
      <c r="F50" s="33"/>
      <c r="G50" s="33"/>
      <c r="H50" s="33"/>
      <c r="I50" s="33"/>
      <c r="J50" s="34"/>
      <c r="K50" s="34"/>
      <c r="L50" s="34"/>
      <c r="M50" s="34"/>
      <c r="N50" s="36"/>
      <c r="O50" s="36"/>
      <c r="P50" s="36"/>
      <c r="Q50" s="36"/>
      <c r="R50" s="33"/>
    </row>
    <row r="51" spans="1:18" s="57" customFormat="1" x14ac:dyDescent="0.3">
      <c r="A51" s="33"/>
      <c r="B51" s="33"/>
      <c r="C51" s="33"/>
      <c r="D51" s="33"/>
      <c r="E51" s="33"/>
      <c r="F51" s="33"/>
      <c r="G51" s="33"/>
      <c r="H51" s="33"/>
      <c r="I51" s="33"/>
      <c r="J51" s="34"/>
      <c r="K51" s="34"/>
      <c r="L51" s="34"/>
      <c r="M51" s="34"/>
      <c r="N51" s="36"/>
      <c r="O51" s="36"/>
      <c r="P51" s="36"/>
      <c r="Q51" s="36"/>
      <c r="R51" s="33"/>
    </row>
    <row r="52" spans="1:18" s="57" customFormat="1" x14ac:dyDescent="0.3">
      <c r="A52" s="33"/>
      <c r="B52" s="33"/>
      <c r="C52" s="33"/>
      <c r="D52" s="33"/>
      <c r="E52" s="33"/>
      <c r="F52" s="33"/>
      <c r="G52" s="33"/>
      <c r="H52" s="33"/>
      <c r="I52" s="33"/>
      <c r="J52" s="34"/>
      <c r="K52" s="34"/>
      <c r="L52" s="34"/>
      <c r="M52" s="34"/>
      <c r="N52" s="36"/>
      <c r="O52" s="36"/>
      <c r="P52" s="36"/>
      <c r="Q52" s="36"/>
      <c r="R52" s="33"/>
    </row>
    <row r="53" spans="1:18" s="57" customFormat="1" x14ac:dyDescent="0.3">
      <c r="A53" s="33"/>
      <c r="B53" s="33"/>
      <c r="C53" s="33"/>
      <c r="D53" s="33"/>
      <c r="E53" s="33"/>
      <c r="F53" s="33"/>
      <c r="G53" s="33"/>
      <c r="H53" s="33"/>
      <c r="I53" s="33"/>
      <c r="J53" s="34"/>
      <c r="K53" s="34"/>
      <c r="L53" s="34"/>
      <c r="M53" s="34"/>
      <c r="N53" s="36"/>
      <c r="O53" s="36"/>
      <c r="P53" s="36"/>
      <c r="Q53" s="36"/>
      <c r="R53" s="33"/>
    </row>
  </sheetData>
  <sheetProtection autoFilter="0"/>
  <mergeCells count="10">
    <mergeCell ref="N35:Q35"/>
    <mergeCell ref="A1:F1"/>
    <mergeCell ref="A14:D14"/>
    <mergeCell ref="O2:R2"/>
    <mergeCell ref="A9:L9"/>
    <mergeCell ref="N1:S1"/>
    <mergeCell ref="A3:D3"/>
    <mergeCell ref="A4:D4"/>
    <mergeCell ref="J14:M14"/>
    <mergeCell ref="A28:D28"/>
  </mergeCells>
  <pageMargins left="0.5" right="0.25" top="0.75" bottom="0.75" header="0.3" footer="0.3"/>
  <pageSetup paperSize="17" scale="79" fitToHeight="0" orientation="landscape" horizontalDpi="1200" verticalDpi="1200" r:id="rId1"/>
  <headerFooter>
    <oddFooter>&amp;L&amp;8&amp;Z&amp;F&amp;R&amp;P of &amp;N</oddFooter>
  </headerFooter>
  <rowBreaks count="1" manualBreakCount="1">
    <brk id="39" max="18" man="1"/>
  </rowBreaks>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93"/>
  <sheetViews>
    <sheetView topLeftCell="A10" zoomScaleNormal="100" workbookViewId="0">
      <selection activeCell="A26" sqref="A26:XFD31"/>
    </sheetView>
  </sheetViews>
  <sheetFormatPr defaultColWidth="19.6640625" defaultRowHeight="14.4" x14ac:dyDescent="0.3"/>
  <cols>
    <col min="1" max="1" width="18.5546875" style="25" customWidth="1"/>
    <col min="2" max="2" width="19" style="25" customWidth="1"/>
    <col min="3" max="3" width="15.44140625" style="25" customWidth="1"/>
    <col min="4" max="4" width="18.44140625" style="25" customWidth="1"/>
    <col min="5" max="5" width="13.33203125" style="25" customWidth="1"/>
    <col min="6" max="6" width="10" style="25" customWidth="1"/>
    <col min="7" max="7" width="13.44140625" style="25" customWidth="1"/>
    <col min="8" max="8" width="11.77734375" style="26" customWidth="1"/>
    <col min="9" max="9" width="6.5546875" style="25" customWidth="1"/>
    <col min="10" max="10" width="7.77734375" style="25" customWidth="1"/>
    <col min="11" max="11" width="13.33203125" style="25" customWidth="1"/>
    <col min="12" max="12" width="16.5546875" style="25" customWidth="1"/>
    <col min="13" max="13" width="11.77734375" style="25" customWidth="1"/>
    <col min="14" max="14" width="15.6640625" style="25" customWidth="1"/>
    <col min="15" max="16" width="9.77734375" style="25" customWidth="1"/>
    <col min="17" max="17" width="19.5546875" style="25" customWidth="1"/>
    <col min="18" max="18" width="44.6640625" style="25" customWidth="1"/>
    <col min="19" max="19" width="9.5546875" style="25" customWidth="1"/>
    <col min="20" max="16384" width="19.6640625" style="9"/>
  </cols>
  <sheetData>
    <row r="1" spans="1:19" ht="18.600000000000001" x14ac:dyDescent="0.35">
      <c r="A1" s="187" t="str">
        <f>+'Federal Funds Transactions'!A1:F1</f>
        <v>Western Arizona Council of Goverments</v>
      </c>
      <c r="B1" s="187"/>
      <c r="C1" s="187"/>
      <c r="D1" s="187"/>
      <c r="E1" s="187"/>
      <c r="F1" s="187"/>
    </row>
    <row r="2" spans="1:19" x14ac:dyDescent="0.35">
      <c r="A2" s="27"/>
      <c r="B2" s="27"/>
      <c r="C2" s="27"/>
      <c r="D2" s="27"/>
      <c r="E2" s="27"/>
      <c r="F2" s="27"/>
    </row>
    <row r="3" spans="1:19" x14ac:dyDescent="0.35">
      <c r="A3" s="188" t="s">
        <v>95</v>
      </c>
      <c r="B3" s="188"/>
      <c r="C3" s="188"/>
      <c r="D3" s="188"/>
      <c r="E3" s="188"/>
      <c r="F3" s="188"/>
    </row>
    <row r="4" spans="1:19" x14ac:dyDescent="0.35">
      <c r="A4" s="28"/>
      <c r="B4" s="28"/>
      <c r="C4" s="28"/>
      <c r="D4" s="28"/>
      <c r="E4" s="28"/>
      <c r="F4" s="28"/>
    </row>
    <row r="5" spans="1:19" x14ac:dyDescent="0.35">
      <c r="A5" s="25" t="s">
        <v>94</v>
      </c>
      <c r="B5" s="95">
        <f>+'Federal Funds Transactions'!C5</f>
        <v>42277</v>
      </c>
      <c r="C5" s="27"/>
      <c r="D5" s="27"/>
      <c r="E5" s="27"/>
      <c r="F5" s="27"/>
    </row>
    <row r="6" spans="1:19" x14ac:dyDescent="0.35">
      <c r="A6" s="27"/>
      <c r="B6" s="27"/>
      <c r="C6" s="27"/>
      <c r="D6" s="27"/>
      <c r="E6" s="27"/>
      <c r="F6" s="27"/>
    </row>
    <row r="7" spans="1:19" ht="15" customHeight="1" x14ac:dyDescent="0.35">
      <c r="A7" s="191" t="str">
        <f>+'Federal Funds Transactions'!A9:L9</f>
        <v>IMPORTANT! Please review the information in the Notes tab for further explanation of the data in this document.</v>
      </c>
      <c r="B7" s="191"/>
      <c r="C7" s="191"/>
      <c r="D7" s="191"/>
      <c r="E7" s="191"/>
      <c r="F7" s="191"/>
      <c r="G7" s="191"/>
      <c r="H7" s="191"/>
    </row>
    <row r="9" spans="1:19" ht="15.75" customHeight="1" x14ac:dyDescent="0.3">
      <c r="A9" s="189" t="s">
        <v>91</v>
      </c>
      <c r="B9" s="189"/>
      <c r="C9" s="189"/>
      <c r="D9" s="189"/>
      <c r="E9" s="189"/>
      <c r="F9" s="189"/>
      <c r="G9" s="189"/>
      <c r="M9" s="29"/>
      <c r="N9" s="29"/>
      <c r="O9" s="29"/>
      <c r="P9" s="29"/>
      <c r="Q9" s="29"/>
      <c r="R9" s="29"/>
      <c r="S9" s="29"/>
    </row>
    <row r="10" spans="1:19" ht="15.6" x14ac:dyDescent="0.3">
      <c r="A10" s="30"/>
      <c r="B10" s="30"/>
      <c r="C10" s="30"/>
      <c r="D10" s="30"/>
      <c r="E10" s="31"/>
      <c r="F10" s="31"/>
      <c r="G10" s="31"/>
      <c r="H10" s="32"/>
      <c r="I10" s="31"/>
      <c r="J10" s="31"/>
      <c r="K10" s="31"/>
      <c r="L10" s="31"/>
      <c r="M10" s="29"/>
      <c r="N10" s="29"/>
      <c r="O10" s="29"/>
      <c r="P10" s="29"/>
      <c r="Q10" s="29"/>
      <c r="R10" s="29"/>
      <c r="S10" s="29"/>
    </row>
    <row r="11" spans="1:19" x14ac:dyDescent="0.3">
      <c r="A11" s="104" t="s">
        <v>50</v>
      </c>
      <c r="B11" s="105" t="s">
        <v>51</v>
      </c>
      <c r="C11" s="105" t="s">
        <v>13</v>
      </c>
      <c r="D11" s="105" t="s">
        <v>52</v>
      </c>
      <c r="E11" s="105" t="s">
        <v>10</v>
      </c>
      <c r="F11" s="105" t="s">
        <v>44</v>
      </c>
      <c r="G11" s="105" t="s">
        <v>45</v>
      </c>
      <c r="H11" s="105" t="s">
        <v>4</v>
      </c>
      <c r="I11" s="105" t="s">
        <v>46</v>
      </c>
      <c r="J11" s="105" t="s">
        <v>5</v>
      </c>
      <c r="K11" s="105" t="s">
        <v>6</v>
      </c>
      <c r="L11" s="105" t="s">
        <v>47</v>
      </c>
      <c r="M11" s="105" t="s">
        <v>48</v>
      </c>
      <c r="N11" s="105" t="s">
        <v>49</v>
      </c>
      <c r="O11" s="105" t="s">
        <v>109</v>
      </c>
      <c r="P11" s="105" t="s">
        <v>110</v>
      </c>
      <c r="Q11" s="105" t="s">
        <v>111</v>
      </c>
      <c r="R11" s="106" t="s">
        <v>112</v>
      </c>
      <c r="S11" s="31"/>
    </row>
    <row r="12" spans="1:19" x14ac:dyDescent="0.3">
      <c r="A12" s="89" t="s">
        <v>114</v>
      </c>
      <c r="B12" s="87" t="s">
        <v>99</v>
      </c>
      <c r="C12" s="87" t="s">
        <v>115</v>
      </c>
      <c r="D12" s="87" t="s">
        <v>117</v>
      </c>
      <c r="E12" s="87">
        <v>1515000</v>
      </c>
      <c r="F12" s="87"/>
      <c r="G12" s="87"/>
      <c r="H12" s="87"/>
      <c r="I12" s="87"/>
      <c r="J12" s="87"/>
      <c r="K12" s="87">
        <v>1515000</v>
      </c>
      <c r="L12" s="87"/>
      <c r="M12" s="87"/>
      <c r="N12" s="87"/>
      <c r="O12" s="88" t="s">
        <v>108</v>
      </c>
      <c r="P12" s="88" t="s">
        <v>116</v>
      </c>
      <c r="Q12" s="88"/>
      <c r="R12" s="91" t="s">
        <v>120</v>
      </c>
      <c r="S12" s="103"/>
    </row>
    <row r="13" spans="1:19" x14ac:dyDescent="0.3">
      <c r="A13" s="90" t="s">
        <v>114</v>
      </c>
      <c r="B13" s="88" t="s">
        <v>100</v>
      </c>
      <c r="C13" s="88" t="s">
        <v>121</v>
      </c>
      <c r="D13" s="88" t="s">
        <v>118</v>
      </c>
      <c r="E13" s="88">
        <v>-220000</v>
      </c>
      <c r="F13" s="88"/>
      <c r="G13" s="88"/>
      <c r="H13" s="88">
        <v>-220000</v>
      </c>
      <c r="I13" s="88"/>
      <c r="J13" s="88"/>
      <c r="K13" s="88"/>
      <c r="L13" s="88"/>
      <c r="M13" s="88"/>
      <c r="N13" s="88"/>
      <c r="O13" s="88" t="s">
        <v>116</v>
      </c>
      <c r="P13" s="88" t="s">
        <v>113</v>
      </c>
      <c r="Q13" s="88" t="s">
        <v>122</v>
      </c>
      <c r="R13" s="91" t="s">
        <v>123</v>
      </c>
      <c r="S13" s="103"/>
    </row>
    <row r="14" spans="1:19" x14ac:dyDescent="0.3">
      <c r="A14" s="90" t="s">
        <v>114</v>
      </c>
      <c r="B14" s="88" t="s">
        <v>53</v>
      </c>
      <c r="C14" s="88" t="s">
        <v>124</v>
      </c>
      <c r="D14" s="88"/>
      <c r="E14" s="88">
        <v>-380000</v>
      </c>
      <c r="F14" s="88"/>
      <c r="G14" s="88"/>
      <c r="H14" s="88">
        <v>-380000</v>
      </c>
      <c r="I14" s="88"/>
      <c r="J14" s="88"/>
      <c r="K14" s="88"/>
      <c r="L14" s="88"/>
      <c r="M14" s="88"/>
      <c r="N14" s="88"/>
      <c r="O14" s="88" t="s">
        <v>116</v>
      </c>
      <c r="P14" s="88" t="s">
        <v>113</v>
      </c>
      <c r="Q14" s="88"/>
      <c r="R14" s="91" t="s">
        <v>125</v>
      </c>
      <c r="S14" s="103"/>
    </row>
    <row r="15" spans="1:19" x14ac:dyDescent="0.3">
      <c r="A15" s="90" t="s">
        <v>36</v>
      </c>
      <c r="B15" s="88" t="s">
        <v>100</v>
      </c>
      <c r="C15" s="88" t="s">
        <v>126</v>
      </c>
      <c r="D15" s="88" t="s">
        <v>118</v>
      </c>
      <c r="E15" s="88">
        <v>-559770</v>
      </c>
      <c r="F15" s="88"/>
      <c r="G15" s="88"/>
      <c r="H15" s="88">
        <v>-559770</v>
      </c>
      <c r="I15" s="88"/>
      <c r="J15" s="88"/>
      <c r="K15" s="88"/>
      <c r="L15" s="88"/>
      <c r="M15" s="88"/>
      <c r="N15" s="88"/>
      <c r="O15" s="88" t="s">
        <v>116</v>
      </c>
      <c r="P15" s="88" t="s">
        <v>113</v>
      </c>
      <c r="Q15" s="88" t="s">
        <v>122</v>
      </c>
      <c r="R15" s="91" t="s">
        <v>127</v>
      </c>
      <c r="S15" s="103"/>
    </row>
    <row r="16" spans="1:19" x14ac:dyDescent="0.3">
      <c r="A16" s="90" t="s">
        <v>118</v>
      </c>
      <c r="B16" s="88" t="s">
        <v>173</v>
      </c>
      <c r="C16" s="88" t="s">
        <v>174</v>
      </c>
      <c r="D16" s="88" t="s">
        <v>178</v>
      </c>
      <c r="E16" s="88">
        <v>-263878.89</v>
      </c>
      <c r="F16" s="88"/>
      <c r="G16" s="88"/>
      <c r="H16" s="88">
        <v>-263878.89</v>
      </c>
      <c r="I16" s="88"/>
      <c r="J16" s="88"/>
      <c r="K16" s="88"/>
      <c r="L16" s="88"/>
      <c r="M16" s="88"/>
      <c r="N16" s="88"/>
      <c r="O16" s="88" t="s">
        <v>116</v>
      </c>
      <c r="P16" s="88" t="s">
        <v>113</v>
      </c>
      <c r="Q16" s="88"/>
      <c r="R16" s="91" t="s">
        <v>179</v>
      </c>
      <c r="S16" s="103"/>
    </row>
    <row r="17" spans="1:19" x14ac:dyDescent="0.3">
      <c r="A17" s="92" t="s">
        <v>118</v>
      </c>
      <c r="B17" s="93" t="s">
        <v>99</v>
      </c>
      <c r="C17" s="93" t="s">
        <v>155</v>
      </c>
      <c r="D17" s="93" t="s">
        <v>117</v>
      </c>
      <c r="E17" s="93">
        <v>212090</v>
      </c>
      <c r="F17" s="93"/>
      <c r="G17" s="93"/>
      <c r="H17" s="93"/>
      <c r="I17" s="93"/>
      <c r="J17" s="93"/>
      <c r="K17" s="93">
        <v>212090</v>
      </c>
      <c r="L17" s="93"/>
      <c r="M17" s="93"/>
      <c r="N17" s="93"/>
      <c r="O17" s="93" t="s">
        <v>140</v>
      </c>
      <c r="P17" s="93" t="s">
        <v>116</v>
      </c>
      <c r="Q17" s="93"/>
      <c r="R17" s="94" t="s">
        <v>141</v>
      </c>
      <c r="S17" s="103"/>
    </row>
    <row r="18" spans="1:19" x14ac:dyDescent="0.3">
      <c r="A18" s="103" t="s">
        <v>118</v>
      </c>
      <c r="B18" s="103" t="s">
        <v>100</v>
      </c>
      <c r="C18" s="103" t="s">
        <v>156</v>
      </c>
      <c r="D18" s="103" t="s">
        <v>117</v>
      </c>
      <c r="E18" s="103">
        <v>-1515000</v>
      </c>
      <c r="F18" s="103"/>
      <c r="G18" s="103"/>
      <c r="H18" s="103"/>
      <c r="I18" s="103"/>
      <c r="J18" s="103"/>
      <c r="K18" s="103">
        <v>-1515000</v>
      </c>
      <c r="L18" s="103"/>
      <c r="M18" s="103"/>
      <c r="N18" s="103"/>
      <c r="O18" s="103" t="s">
        <v>116</v>
      </c>
      <c r="P18" s="103" t="s">
        <v>113</v>
      </c>
      <c r="Q18" s="103"/>
      <c r="R18" s="103" t="s">
        <v>157</v>
      </c>
      <c r="S18" s="103"/>
    </row>
    <row r="19" spans="1:19" x14ac:dyDescent="0.3">
      <c r="A19" s="103" t="s">
        <v>118</v>
      </c>
      <c r="B19" s="103" t="s">
        <v>100</v>
      </c>
      <c r="C19" s="103" t="s">
        <v>159</v>
      </c>
      <c r="D19" s="103" t="s">
        <v>131</v>
      </c>
      <c r="E19" s="103">
        <v>-580186</v>
      </c>
      <c r="F19" s="103"/>
      <c r="G19" s="103"/>
      <c r="H19" s="103"/>
      <c r="I19" s="103"/>
      <c r="J19" s="103"/>
      <c r="K19" s="103">
        <v>-580186</v>
      </c>
      <c r="L19" s="103"/>
      <c r="M19" s="103"/>
      <c r="N19" s="103"/>
      <c r="O19" s="103" t="s">
        <v>116</v>
      </c>
      <c r="P19" s="103" t="s">
        <v>113</v>
      </c>
      <c r="Q19" s="103" t="s">
        <v>160</v>
      </c>
      <c r="R19" s="103" t="s">
        <v>161</v>
      </c>
      <c r="S19" s="103"/>
    </row>
    <row r="20" spans="1:19" x14ac:dyDescent="0.3">
      <c r="A20" s="103" t="s">
        <v>118</v>
      </c>
      <c r="B20" s="103" t="s">
        <v>100</v>
      </c>
      <c r="C20" s="103" t="s">
        <v>162</v>
      </c>
      <c r="D20" s="103" t="s">
        <v>131</v>
      </c>
      <c r="E20" s="103">
        <v>-127122</v>
      </c>
      <c r="F20" s="103"/>
      <c r="G20" s="103"/>
      <c r="H20" s="103">
        <v>-127122</v>
      </c>
      <c r="I20" s="103"/>
      <c r="J20" s="103"/>
      <c r="K20" s="103"/>
      <c r="L20" s="103"/>
      <c r="M20" s="103"/>
      <c r="N20" s="103"/>
      <c r="O20" s="103" t="s">
        <v>116</v>
      </c>
      <c r="P20" s="103" t="s">
        <v>163</v>
      </c>
      <c r="Q20" s="103" t="s">
        <v>164</v>
      </c>
      <c r="R20" s="103" t="s">
        <v>165</v>
      </c>
      <c r="S20" s="103"/>
    </row>
    <row r="21" spans="1:19" x14ac:dyDescent="0.3">
      <c r="A21" s="103" t="s">
        <v>118</v>
      </c>
      <c r="B21" s="103" t="s">
        <v>100</v>
      </c>
      <c r="C21" s="103" t="s">
        <v>170</v>
      </c>
      <c r="D21" s="103" t="s">
        <v>131</v>
      </c>
      <c r="E21" s="103">
        <v>-31179</v>
      </c>
      <c r="F21" s="103"/>
      <c r="G21" s="103"/>
      <c r="H21" s="103"/>
      <c r="I21" s="103"/>
      <c r="J21" s="103"/>
      <c r="K21" s="103">
        <v>-31179</v>
      </c>
      <c r="L21" s="103"/>
      <c r="M21" s="103"/>
      <c r="N21" s="103"/>
      <c r="O21" s="103" t="s">
        <v>116</v>
      </c>
      <c r="P21" s="103" t="s">
        <v>113</v>
      </c>
      <c r="Q21" s="103" t="s">
        <v>171</v>
      </c>
      <c r="R21" s="103" t="s">
        <v>172</v>
      </c>
      <c r="S21" s="103"/>
    </row>
    <row r="22" spans="1:19" x14ac:dyDescent="0.3">
      <c r="A22" s="103" t="s">
        <v>118</v>
      </c>
      <c r="B22" s="103" t="s">
        <v>101</v>
      </c>
      <c r="C22" s="103" t="s">
        <v>126</v>
      </c>
      <c r="D22" s="103" t="s">
        <v>118</v>
      </c>
      <c r="E22" s="103">
        <v>559770</v>
      </c>
      <c r="F22" s="103"/>
      <c r="G22" s="103"/>
      <c r="H22" s="103">
        <v>559770</v>
      </c>
      <c r="I22" s="103"/>
      <c r="J22" s="103"/>
      <c r="K22" s="103"/>
      <c r="L22" s="103"/>
      <c r="M22" s="103"/>
      <c r="N22" s="103"/>
      <c r="O22" s="103" t="s">
        <v>113</v>
      </c>
      <c r="P22" s="103" t="s">
        <v>116</v>
      </c>
      <c r="Q22" s="103" t="s">
        <v>122</v>
      </c>
      <c r="R22" s="103" t="s">
        <v>128</v>
      </c>
      <c r="S22" s="103"/>
    </row>
    <row r="23" spans="1:19" x14ac:dyDescent="0.3">
      <c r="A23" s="103" t="s">
        <v>118</v>
      </c>
      <c r="B23" s="103" t="s">
        <v>101</v>
      </c>
      <c r="C23" s="103" t="s">
        <v>121</v>
      </c>
      <c r="D23" s="103" t="s">
        <v>118</v>
      </c>
      <c r="E23" s="103">
        <v>220000</v>
      </c>
      <c r="F23" s="103"/>
      <c r="G23" s="103"/>
      <c r="H23" s="103">
        <v>220000</v>
      </c>
      <c r="I23" s="103"/>
      <c r="J23" s="103"/>
      <c r="K23" s="103"/>
      <c r="L23" s="103"/>
      <c r="M23" s="103"/>
      <c r="N23" s="103"/>
      <c r="O23" s="103" t="s">
        <v>113</v>
      </c>
      <c r="P23" s="103" t="s">
        <v>116</v>
      </c>
      <c r="Q23" s="103" t="s">
        <v>122</v>
      </c>
      <c r="R23" s="103" t="s">
        <v>129</v>
      </c>
      <c r="S23" s="103"/>
    </row>
    <row r="24" spans="1:19" x14ac:dyDescent="0.3">
      <c r="A24" s="124" t="s">
        <v>118</v>
      </c>
      <c r="B24" s="124" t="s">
        <v>103</v>
      </c>
      <c r="C24" s="124" t="s">
        <v>142</v>
      </c>
      <c r="D24" s="124"/>
      <c r="E24" s="124">
        <v>519767</v>
      </c>
      <c r="F24" s="124"/>
      <c r="G24" s="124"/>
      <c r="H24" s="124">
        <v>519767</v>
      </c>
      <c r="I24" s="124"/>
      <c r="J24" s="124"/>
      <c r="K24" s="124"/>
      <c r="L24" s="124"/>
      <c r="M24" s="124"/>
      <c r="N24" s="124"/>
      <c r="O24" s="124" t="s">
        <v>137</v>
      </c>
      <c r="P24" s="124" t="s">
        <v>116</v>
      </c>
      <c r="Q24" s="124"/>
      <c r="R24" s="124" t="s">
        <v>143</v>
      </c>
      <c r="S24" s="103"/>
    </row>
    <row r="25" spans="1:19" x14ac:dyDescent="0.3">
      <c r="A25" s="124" t="s">
        <v>118</v>
      </c>
      <c r="B25" s="124" t="s">
        <v>103</v>
      </c>
      <c r="C25" s="124" t="s">
        <v>136</v>
      </c>
      <c r="D25" s="124" t="s">
        <v>138</v>
      </c>
      <c r="E25" s="124">
        <v>302770</v>
      </c>
      <c r="F25" s="124"/>
      <c r="G25" s="124"/>
      <c r="H25" s="124"/>
      <c r="I25" s="124"/>
      <c r="J25" s="124"/>
      <c r="K25" s="124">
        <v>302770</v>
      </c>
      <c r="L25" s="124"/>
      <c r="M25" s="124"/>
      <c r="N25" s="124"/>
      <c r="O25" s="124" t="s">
        <v>137</v>
      </c>
      <c r="P25" s="124" t="s">
        <v>116</v>
      </c>
      <c r="Q25" s="124"/>
      <c r="R25" s="124" t="s">
        <v>139</v>
      </c>
      <c r="S25" s="103"/>
    </row>
    <row r="26" spans="1:19" x14ac:dyDescent="0.3">
      <c r="A26" s="124" t="s">
        <v>117</v>
      </c>
      <c r="B26" s="124" t="s">
        <v>99</v>
      </c>
      <c r="C26" s="124" t="s">
        <v>206</v>
      </c>
      <c r="D26" s="124" t="s">
        <v>150</v>
      </c>
      <c r="E26" s="124">
        <v>170964</v>
      </c>
      <c r="F26" s="124"/>
      <c r="G26" s="124"/>
      <c r="H26" s="124">
        <v>170964</v>
      </c>
      <c r="I26" s="124"/>
      <c r="J26" s="124"/>
      <c r="K26" s="124"/>
      <c r="L26" s="124"/>
      <c r="M26" s="124"/>
      <c r="N26" s="124"/>
      <c r="O26" s="124" t="s">
        <v>207</v>
      </c>
      <c r="P26" s="124" t="s">
        <v>116</v>
      </c>
      <c r="Q26" s="124"/>
      <c r="R26" s="124" t="s">
        <v>208</v>
      </c>
      <c r="S26" s="103"/>
    </row>
    <row r="27" spans="1:19" x14ac:dyDescent="0.3">
      <c r="A27" s="124" t="s">
        <v>117</v>
      </c>
      <c r="B27" s="124" t="s">
        <v>99</v>
      </c>
      <c r="C27" s="124" t="s">
        <v>209</v>
      </c>
      <c r="D27" s="124" t="s">
        <v>150</v>
      </c>
      <c r="E27" s="124">
        <v>165341</v>
      </c>
      <c r="F27" s="124"/>
      <c r="G27" s="124"/>
      <c r="H27" s="124">
        <v>165341</v>
      </c>
      <c r="I27" s="124"/>
      <c r="J27" s="124"/>
      <c r="K27" s="124"/>
      <c r="L27" s="124"/>
      <c r="M27" s="124"/>
      <c r="N27" s="124"/>
      <c r="O27" s="124" t="s">
        <v>137</v>
      </c>
      <c r="P27" s="124" t="s">
        <v>116</v>
      </c>
      <c r="Q27" s="124"/>
      <c r="R27" s="124" t="s">
        <v>210</v>
      </c>
      <c r="S27" s="103"/>
    </row>
    <row r="28" spans="1:19" x14ac:dyDescent="0.3">
      <c r="A28" s="124" t="s">
        <v>117</v>
      </c>
      <c r="B28" s="124" t="s">
        <v>100</v>
      </c>
      <c r="C28" s="124" t="s">
        <v>130</v>
      </c>
      <c r="D28" s="124" t="s">
        <v>131</v>
      </c>
      <c r="E28" s="124">
        <v>-600000</v>
      </c>
      <c r="F28" s="124"/>
      <c r="G28" s="124"/>
      <c r="H28" s="124">
        <v>-600000</v>
      </c>
      <c r="I28" s="124"/>
      <c r="J28" s="124"/>
      <c r="K28" s="124"/>
      <c r="L28" s="124"/>
      <c r="M28" s="124"/>
      <c r="N28" s="124"/>
      <c r="O28" s="124" t="s">
        <v>116</v>
      </c>
      <c r="P28" s="124" t="s">
        <v>113</v>
      </c>
      <c r="Q28" s="124" t="s">
        <v>132</v>
      </c>
      <c r="R28" s="124" t="s">
        <v>123</v>
      </c>
      <c r="S28" s="103"/>
    </row>
    <row r="29" spans="1:19" x14ac:dyDescent="0.3">
      <c r="A29" s="124" t="s">
        <v>117</v>
      </c>
      <c r="B29" s="124" t="s">
        <v>100</v>
      </c>
      <c r="C29" s="124" t="s">
        <v>158</v>
      </c>
      <c r="D29" s="124" t="s">
        <v>131</v>
      </c>
      <c r="E29" s="124">
        <v>-523560</v>
      </c>
      <c r="F29" s="124"/>
      <c r="G29" s="124"/>
      <c r="H29" s="124"/>
      <c r="I29" s="124"/>
      <c r="J29" s="124"/>
      <c r="K29" s="124">
        <v>-523560</v>
      </c>
      <c r="L29" s="124"/>
      <c r="M29" s="124"/>
      <c r="N29" s="124"/>
      <c r="O29" s="124" t="s">
        <v>116</v>
      </c>
      <c r="P29" s="124" t="s">
        <v>140</v>
      </c>
      <c r="Q29" s="124" t="s">
        <v>145</v>
      </c>
      <c r="R29" s="124" t="s">
        <v>146</v>
      </c>
      <c r="S29" s="103"/>
    </row>
    <row r="30" spans="1:19" x14ac:dyDescent="0.3">
      <c r="A30" s="124" t="s">
        <v>117</v>
      </c>
      <c r="B30" s="124" t="s">
        <v>101</v>
      </c>
      <c r="C30" s="124" t="s">
        <v>156</v>
      </c>
      <c r="D30" s="124"/>
      <c r="E30" s="124">
        <v>1515000</v>
      </c>
      <c r="F30" s="124"/>
      <c r="G30" s="124"/>
      <c r="H30" s="124"/>
      <c r="I30" s="124"/>
      <c r="J30" s="124"/>
      <c r="K30" s="124">
        <v>1515000</v>
      </c>
      <c r="L30" s="124"/>
      <c r="M30" s="124"/>
      <c r="N30" s="124"/>
      <c r="O30" s="124" t="s">
        <v>113</v>
      </c>
      <c r="P30" s="124" t="s">
        <v>116</v>
      </c>
      <c r="Q30" s="124"/>
      <c r="R30" s="124" t="s">
        <v>157</v>
      </c>
    </row>
    <row r="31" spans="1:19" x14ac:dyDescent="0.3">
      <c r="A31" s="124" t="s">
        <v>117</v>
      </c>
      <c r="B31" s="124" t="s">
        <v>102</v>
      </c>
      <c r="C31" s="124" t="s">
        <v>115</v>
      </c>
      <c r="D31" s="124"/>
      <c r="E31" s="124">
        <v>-1515000</v>
      </c>
      <c r="F31" s="124"/>
      <c r="G31" s="124"/>
      <c r="H31" s="124"/>
      <c r="I31" s="124"/>
      <c r="J31" s="124"/>
      <c r="K31" s="124">
        <v>-1515000</v>
      </c>
      <c r="L31" s="124"/>
      <c r="M31" s="124"/>
      <c r="N31" s="124"/>
      <c r="O31" s="124" t="s">
        <v>116</v>
      </c>
      <c r="P31" s="124" t="s">
        <v>108</v>
      </c>
      <c r="Q31" s="124"/>
      <c r="R31" s="124" t="s">
        <v>133</v>
      </c>
    </row>
    <row r="32" spans="1:19" x14ac:dyDescent="0.3">
      <c r="A32" s="124" t="s">
        <v>117</v>
      </c>
      <c r="B32" s="124" t="s">
        <v>102</v>
      </c>
      <c r="C32" s="124" t="s">
        <v>155</v>
      </c>
      <c r="D32" s="124" t="s">
        <v>117</v>
      </c>
      <c r="E32" s="124">
        <v>-212090</v>
      </c>
      <c r="F32" s="124"/>
      <c r="G32" s="124"/>
      <c r="H32" s="124"/>
      <c r="I32" s="124"/>
      <c r="J32" s="124"/>
      <c r="K32" s="124">
        <v>-212090</v>
      </c>
      <c r="L32" s="124"/>
      <c r="M32" s="124"/>
      <c r="N32" s="124"/>
      <c r="O32" s="124" t="s">
        <v>116</v>
      </c>
      <c r="P32" s="124" t="s">
        <v>140</v>
      </c>
      <c r="Q32" s="124"/>
      <c r="R32" s="124" t="s">
        <v>141</v>
      </c>
    </row>
    <row r="33" spans="1:19" x14ac:dyDescent="0.3">
      <c r="A33" s="124" t="s">
        <v>117</v>
      </c>
      <c r="B33" s="124" t="s">
        <v>103</v>
      </c>
      <c r="C33" s="124" t="s">
        <v>136</v>
      </c>
      <c r="D33" s="124" t="s">
        <v>138</v>
      </c>
      <c r="E33" s="124">
        <v>302770</v>
      </c>
      <c r="F33" s="124"/>
      <c r="G33" s="124"/>
      <c r="H33" s="124"/>
      <c r="I33" s="124"/>
      <c r="J33" s="124"/>
      <c r="K33" s="124">
        <v>302770</v>
      </c>
      <c r="L33" s="124"/>
      <c r="M33" s="124"/>
      <c r="N33" s="124"/>
      <c r="O33" s="124" t="s">
        <v>137</v>
      </c>
      <c r="P33" s="124" t="s">
        <v>116</v>
      </c>
      <c r="Q33" s="124"/>
      <c r="R33" s="124" t="s">
        <v>144</v>
      </c>
    </row>
    <row r="34" spans="1:19" x14ac:dyDescent="0.3">
      <c r="A34" s="124" t="s">
        <v>131</v>
      </c>
      <c r="B34" s="124" t="s">
        <v>101</v>
      </c>
      <c r="C34" s="124" t="s">
        <v>130</v>
      </c>
      <c r="D34" s="124" t="s">
        <v>131</v>
      </c>
      <c r="E34" s="124">
        <v>600000</v>
      </c>
      <c r="F34" s="124"/>
      <c r="G34" s="124"/>
      <c r="H34" s="124">
        <v>600000</v>
      </c>
      <c r="I34" s="124"/>
      <c r="J34" s="124"/>
      <c r="K34" s="124"/>
      <c r="L34" s="124"/>
      <c r="M34" s="124"/>
      <c r="N34" s="124"/>
      <c r="O34" s="124" t="s">
        <v>113</v>
      </c>
      <c r="P34" s="124" t="s">
        <v>116</v>
      </c>
      <c r="Q34" s="124" t="s">
        <v>132</v>
      </c>
      <c r="R34" s="124" t="s">
        <v>134</v>
      </c>
    </row>
    <row r="35" spans="1:19" x14ac:dyDescent="0.3">
      <c r="A35" s="124" t="s">
        <v>131</v>
      </c>
      <c r="B35" s="124" t="s">
        <v>101</v>
      </c>
      <c r="C35" s="124" t="s">
        <v>158</v>
      </c>
      <c r="D35" s="124" t="s">
        <v>131</v>
      </c>
      <c r="E35" s="124">
        <v>523560</v>
      </c>
      <c r="F35" s="124"/>
      <c r="G35" s="124"/>
      <c r="H35" s="124"/>
      <c r="I35" s="124"/>
      <c r="J35" s="124"/>
      <c r="K35" s="124">
        <v>523560</v>
      </c>
      <c r="L35" s="124"/>
      <c r="M35" s="124"/>
      <c r="N35" s="124"/>
      <c r="O35" s="124" t="s">
        <v>140</v>
      </c>
      <c r="P35" s="124" t="s">
        <v>116</v>
      </c>
      <c r="Q35" s="124" t="s">
        <v>145</v>
      </c>
      <c r="R35" s="124" t="s">
        <v>146</v>
      </c>
      <c r="S35" s="9"/>
    </row>
    <row r="36" spans="1:19" x14ac:dyDescent="0.3">
      <c r="A36" s="124" t="s">
        <v>131</v>
      </c>
      <c r="B36" s="124" t="s">
        <v>101</v>
      </c>
      <c r="C36" s="124" t="s">
        <v>159</v>
      </c>
      <c r="D36" s="124"/>
      <c r="E36" s="124">
        <v>580186</v>
      </c>
      <c r="F36" s="124"/>
      <c r="G36" s="124"/>
      <c r="H36" s="124"/>
      <c r="I36" s="124"/>
      <c r="J36" s="124"/>
      <c r="K36" s="124">
        <v>580186</v>
      </c>
      <c r="L36" s="124"/>
      <c r="M36" s="124"/>
      <c r="N36" s="124"/>
      <c r="O36" s="124" t="s">
        <v>113</v>
      </c>
      <c r="P36" s="124" t="s">
        <v>116</v>
      </c>
      <c r="Q36" s="124" t="s">
        <v>160</v>
      </c>
      <c r="R36" s="124" t="s">
        <v>166</v>
      </c>
      <c r="S36" s="9"/>
    </row>
    <row r="37" spans="1:19" x14ac:dyDescent="0.3">
      <c r="A37" s="124" t="s">
        <v>131</v>
      </c>
      <c r="B37" s="124" t="s">
        <v>101</v>
      </c>
      <c r="C37" s="124" t="s">
        <v>162</v>
      </c>
      <c r="D37" s="124"/>
      <c r="E37" s="124">
        <v>127122</v>
      </c>
      <c r="F37" s="124"/>
      <c r="G37" s="124"/>
      <c r="H37" s="124">
        <v>127122</v>
      </c>
      <c r="I37" s="124"/>
      <c r="J37" s="124"/>
      <c r="K37" s="124"/>
      <c r="L37" s="124"/>
      <c r="M37" s="124"/>
      <c r="N37" s="124"/>
      <c r="O37" s="124" t="s">
        <v>163</v>
      </c>
      <c r="P37" s="124" t="s">
        <v>116</v>
      </c>
      <c r="Q37" s="124" t="s">
        <v>164</v>
      </c>
      <c r="R37" s="124" t="s">
        <v>167</v>
      </c>
      <c r="S37" s="9"/>
    </row>
    <row r="38" spans="1:19" x14ac:dyDescent="0.3">
      <c r="A38" s="124" t="s">
        <v>131</v>
      </c>
      <c r="B38" s="124" t="s">
        <v>101</v>
      </c>
      <c r="C38" s="124" t="s">
        <v>170</v>
      </c>
      <c r="D38" s="124"/>
      <c r="E38" s="124">
        <v>31179</v>
      </c>
      <c r="F38" s="124"/>
      <c r="G38" s="124"/>
      <c r="H38" s="124"/>
      <c r="I38" s="124"/>
      <c r="J38" s="124"/>
      <c r="K38" s="124">
        <v>31179</v>
      </c>
      <c r="L38" s="124"/>
      <c r="M38" s="124"/>
      <c r="N38" s="124"/>
      <c r="O38" s="124" t="s">
        <v>113</v>
      </c>
      <c r="P38" s="124" t="s">
        <v>116</v>
      </c>
      <c r="Q38" s="124" t="s">
        <v>171</v>
      </c>
      <c r="R38" s="124" t="s">
        <v>172</v>
      </c>
      <c r="S38" s="9"/>
    </row>
    <row r="39" spans="1:19" x14ac:dyDescent="0.3">
      <c r="A39" s="124" t="s">
        <v>131</v>
      </c>
      <c r="B39" s="124" t="s">
        <v>103</v>
      </c>
      <c r="C39" s="124" t="s">
        <v>136</v>
      </c>
      <c r="D39" s="124" t="s">
        <v>138</v>
      </c>
      <c r="E39" s="124">
        <v>302770</v>
      </c>
      <c r="F39" s="124"/>
      <c r="G39" s="124"/>
      <c r="H39" s="124"/>
      <c r="I39" s="124"/>
      <c r="J39" s="124"/>
      <c r="K39" s="124">
        <v>302770</v>
      </c>
      <c r="L39" s="124"/>
      <c r="M39" s="124"/>
      <c r="N39" s="124"/>
      <c r="O39" s="124" t="s">
        <v>137</v>
      </c>
      <c r="P39" s="124" t="s">
        <v>116</v>
      </c>
      <c r="Q39" s="124"/>
      <c r="R39" s="124" t="s">
        <v>147</v>
      </c>
      <c r="S39" s="9"/>
    </row>
    <row r="40" spans="1:19" x14ac:dyDescent="0.3">
      <c r="A40" s="124" t="s">
        <v>148</v>
      </c>
      <c r="B40" s="124" t="s">
        <v>103</v>
      </c>
      <c r="C40" s="124" t="s">
        <v>136</v>
      </c>
      <c r="D40" s="124" t="s">
        <v>138</v>
      </c>
      <c r="E40" s="124">
        <v>302770</v>
      </c>
      <c r="F40" s="124"/>
      <c r="G40" s="124"/>
      <c r="H40" s="124"/>
      <c r="I40" s="124"/>
      <c r="J40" s="124"/>
      <c r="K40" s="124">
        <v>302770</v>
      </c>
      <c r="L40" s="124"/>
      <c r="M40" s="124"/>
      <c r="N40" s="124"/>
      <c r="O40" s="124" t="s">
        <v>137</v>
      </c>
      <c r="P40" s="124" t="s">
        <v>116</v>
      </c>
      <c r="Q40" s="124"/>
      <c r="R40" s="124" t="s">
        <v>149</v>
      </c>
      <c r="S40" s="9"/>
    </row>
    <row r="41" spans="1:19" x14ac:dyDescent="0.3">
      <c r="A41" s="124" t="s">
        <v>150</v>
      </c>
      <c r="B41" s="124" t="s">
        <v>102</v>
      </c>
      <c r="C41" s="124" t="s">
        <v>206</v>
      </c>
      <c r="D41" s="124" t="s">
        <v>150</v>
      </c>
      <c r="E41" s="124">
        <v>-170964</v>
      </c>
      <c r="F41" s="124"/>
      <c r="G41" s="124"/>
      <c r="H41" s="124">
        <v>-170964</v>
      </c>
      <c r="I41" s="124"/>
      <c r="J41" s="124"/>
      <c r="K41" s="124"/>
      <c r="L41" s="124"/>
      <c r="M41" s="124"/>
      <c r="N41" s="124"/>
      <c r="O41" s="124" t="s">
        <v>116</v>
      </c>
      <c r="P41" s="124" t="s">
        <v>207</v>
      </c>
      <c r="Q41" s="124"/>
      <c r="R41" s="124" t="s">
        <v>208</v>
      </c>
      <c r="S41" s="9"/>
    </row>
    <row r="42" spans="1:19" x14ac:dyDescent="0.3">
      <c r="A42" s="124" t="s">
        <v>150</v>
      </c>
      <c r="B42" s="124" t="s">
        <v>102</v>
      </c>
      <c r="C42" s="124" t="s">
        <v>209</v>
      </c>
      <c r="D42" s="124" t="s">
        <v>150</v>
      </c>
      <c r="E42" s="124">
        <v>-165341</v>
      </c>
      <c r="F42" s="124"/>
      <c r="G42" s="124"/>
      <c r="H42" s="124">
        <v>-165341</v>
      </c>
      <c r="I42" s="124"/>
      <c r="J42" s="124"/>
      <c r="K42" s="124"/>
      <c r="L42" s="124"/>
      <c r="M42" s="124"/>
      <c r="N42" s="124"/>
      <c r="O42" s="124" t="s">
        <v>116</v>
      </c>
      <c r="P42" s="124" t="s">
        <v>137</v>
      </c>
      <c r="Q42" s="124"/>
      <c r="R42" s="124" t="s">
        <v>210</v>
      </c>
    </row>
    <row r="43" spans="1:19" x14ac:dyDescent="0.3">
      <c r="A43" s="124" t="s">
        <v>150</v>
      </c>
      <c r="B43" s="124" t="s">
        <v>103</v>
      </c>
      <c r="C43" s="124" t="s">
        <v>136</v>
      </c>
      <c r="D43" s="124" t="s">
        <v>151</v>
      </c>
      <c r="E43" s="124">
        <v>302770</v>
      </c>
      <c r="F43" s="124"/>
      <c r="G43" s="124"/>
      <c r="H43" s="124"/>
      <c r="I43" s="124"/>
      <c r="J43" s="124"/>
      <c r="K43" s="124">
        <v>302770</v>
      </c>
      <c r="L43" s="124"/>
      <c r="M43" s="124"/>
      <c r="N43" s="124"/>
      <c r="O43" s="124" t="s">
        <v>137</v>
      </c>
      <c r="P43" s="124" t="s">
        <v>116</v>
      </c>
      <c r="Q43" s="124"/>
      <c r="R43" s="124" t="s">
        <v>152</v>
      </c>
    </row>
    <row r="44" spans="1:19" x14ac:dyDescent="0.3">
      <c r="A44" s="25" t="s">
        <v>138</v>
      </c>
      <c r="B44" s="25" t="s">
        <v>103</v>
      </c>
      <c r="C44" s="25" t="s">
        <v>136</v>
      </c>
      <c r="D44" s="25" t="s">
        <v>151</v>
      </c>
      <c r="E44" s="25">
        <v>302770</v>
      </c>
      <c r="H44" s="25"/>
      <c r="K44" s="25">
        <v>302770</v>
      </c>
      <c r="O44" s="25" t="s">
        <v>137</v>
      </c>
      <c r="P44" s="25" t="s">
        <v>116</v>
      </c>
      <c r="R44" s="25" t="s">
        <v>153</v>
      </c>
    </row>
    <row r="45" spans="1:19" x14ac:dyDescent="0.3">
      <c r="A45" s="25" t="s">
        <v>151</v>
      </c>
      <c r="B45" s="25" t="s">
        <v>103</v>
      </c>
      <c r="C45" s="25" t="s">
        <v>136</v>
      </c>
      <c r="D45" s="25" t="s">
        <v>151</v>
      </c>
      <c r="E45" s="25">
        <v>302770</v>
      </c>
      <c r="H45" s="25"/>
      <c r="K45" s="25">
        <v>302770</v>
      </c>
      <c r="O45" s="25" t="s">
        <v>137</v>
      </c>
      <c r="P45" s="25" t="s">
        <v>116</v>
      </c>
      <c r="R45" s="25" t="s">
        <v>154</v>
      </c>
    </row>
    <row r="49" spans="1:18" ht="15.6" x14ac:dyDescent="0.3">
      <c r="A49" s="190" t="s">
        <v>92</v>
      </c>
      <c r="B49" s="190"/>
      <c r="C49" s="190"/>
      <c r="D49" s="190"/>
      <c r="E49" s="190"/>
      <c r="F49" s="190"/>
      <c r="G49" s="190"/>
    </row>
    <row r="51" spans="1:18" x14ac:dyDescent="0.3">
      <c r="A51" s="103" t="s">
        <v>50</v>
      </c>
      <c r="B51" s="103" t="s">
        <v>51</v>
      </c>
      <c r="C51" s="103" t="s">
        <v>13</v>
      </c>
      <c r="D51" s="103" t="s">
        <v>52</v>
      </c>
      <c r="E51" s="103" t="s">
        <v>10</v>
      </c>
      <c r="F51" s="103" t="s">
        <v>44</v>
      </c>
      <c r="G51" s="103" t="s">
        <v>45</v>
      </c>
      <c r="H51" s="103" t="s">
        <v>4</v>
      </c>
      <c r="I51" s="103" t="s">
        <v>46</v>
      </c>
      <c r="J51" s="103" t="s">
        <v>5</v>
      </c>
      <c r="K51" s="103" t="s">
        <v>6</v>
      </c>
      <c r="L51" s="103" t="s">
        <v>47</v>
      </c>
      <c r="M51" s="103" t="s">
        <v>48</v>
      </c>
      <c r="N51" s="103" t="s">
        <v>49</v>
      </c>
      <c r="O51" s="103" t="s">
        <v>109</v>
      </c>
      <c r="P51" s="103" t="s">
        <v>110</v>
      </c>
      <c r="Q51" s="103" t="s">
        <v>111</v>
      </c>
      <c r="R51" s="103" t="s">
        <v>112</v>
      </c>
    </row>
    <row r="52" spans="1:18" x14ac:dyDescent="0.3">
      <c r="A52" s="31" t="s">
        <v>114</v>
      </c>
      <c r="B52" s="31" t="s">
        <v>99</v>
      </c>
      <c r="C52" s="31" t="s">
        <v>115</v>
      </c>
      <c r="D52" s="31" t="s">
        <v>117</v>
      </c>
      <c r="E52" s="31">
        <v>1515000</v>
      </c>
      <c r="F52" s="31"/>
      <c r="G52" s="31"/>
      <c r="H52" s="31"/>
      <c r="I52" s="31"/>
      <c r="J52" s="31"/>
      <c r="K52" s="31">
        <v>1515000</v>
      </c>
      <c r="L52" s="31"/>
      <c r="M52" s="31"/>
      <c r="N52" s="31"/>
      <c r="O52" s="103" t="s">
        <v>108</v>
      </c>
      <c r="P52" s="103" t="s">
        <v>116</v>
      </c>
      <c r="Q52" s="103"/>
      <c r="R52" s="103" t="s">
        <v>120</v>
      </c>
    </row>
    <row r="53" spans="1:18" x14ac:dyDescent="0.3">
      <c r="A53" s="103" t="s">
        <v>114</v>
      </c>
      <c r="B53" s="103" t="s">
        <v>100</v>
      </c>
      <c r="C53" s="103" t="s">
        <v>121</v>
      </c>
      <c r="D53" s="103" t="s">
        <v>118</v>
      </c>
      <c r="E53" s="103">
        <v>-220000</v>
      </c>
      <c r="F53" s="103"/>
      <c r="G53" s="103"/>
      <c r="H53" s="103">
        <v>-220000</v>
      </c>
      <c r="I53" s="103"/>
      <c r="J53" s="103"/>
      <c r="K53" s="103"/>
      <c r="L53" s="103"/>
      <c r="M53" s="103"/>
      <c r="N53" s="103"/>
      <c r="O53" s="103" t="s">
        <v>116</v>
      </c>
      <c r="P53" s="103" t="s">
        <v>113</v>
      </c>
      <c r="Q53" s="103" t="s">
        <v>122</v>
      </c>
      <c r="R53" s="103" t="s">
        <v>123</v>
      </c>
    </row>
    <row r="54" spans="1:18" x14ac:dyDescent="0.3">
      <c r="A54" s="103" t="s">
        <v>114</v>
      </c>
      <c r="B54" s="103" t="s">
        <v>53</v>
      </c>
      <c r="C54" s="103" t="s">
        <v>124</v>
      </c>
      <c r="D54" s="103"/>
      <c r="E54" s="103">
        <v>-380000</v>
      </c>
      <c r="F54" s="103"/>
      <c r="G54" s="103"/>
      <c r="H54" s="103">
        <v>-380000</v>
      </c>
      <c r="I54" s="103"/>
      <c r="J54" s="103"/>
      <c r="K54" s="103"/>
      <c r="L54" s="103"/>
      <c r="M54" s="103"/>
      <c r="N54" s="103"/>
      <c r="O54" s="103" t="s">
        <v>116</v>
      </c>
      <c r="P54" s="103" t="s">
        <v>113</v>
      </c>
      <c r="Q54" s="103"/>
      <c r="R54" s="103" t="s">
        <v>125</v>
      </c>
    </row>
    <row r="55" spans="1:18" x14ac:dyDescent="0.3">
      <c r="A55" s="103" t="s">
        <v>36</v>
      </c>
      <c r="B55" s="103" t="s">
        <v>100</v>
      </c>
      <c r="C55" s="103" t="s">
        <v>126</v>
      </c>
      <c r="D55" s="103" t="s">
        <v>118</v>
      </c>
      <c r="E55" s="103">
        <v>-559770</v>
      </c>
      <c r="F55" s="103"/>
      <c r="G55" s="103"/>
      <c r="H55" s="103">
        <v>-559770</v>
      </c>
      <c r="I55" s="103"/>
      <c r="J55" s="103"/>
      <c r="K55" s="103"/>
      <c r="L55" s="103"/>
      <c r="M55" s="103"/>
      <c r="N55" s="103"/>
      <c r="O55" s="103" t="s">
        <v>116</v>
      </c>
      <c r="P55" s="103" t="s">
        <v>113</v>
      </c>
      <c r="Q55" s="103" t="s">
        <v>122</v>
      </c>
      <c r="R55" s="103" t="s">
        <v>127</v>
      </c>
    </row>
    <row r="56" spans="1:18" x14ac:dyDescent="0.3">
      <c r="A56" s="103" t="s">
        <v>118</v>
      </c>
      <c r="B56" s="103" t="s">
        <v>173</v>
      </c>
      <c r="C56" s="103" t="s">
        <v>174</v>
      </c>
      <c r="D56" s="103" t="s">
        <v>178</v>
      </c>
      <c r="E56" s="103">
        <v>-10083.379999999999</v>
      </c>
      <c r="F56" s="103"/>
      <c r="G56" s="103"/>
      <c r="H56" s="103">
        <v>0</v>
      </c>
      <c r="I56" s="103"/>
      <c r="J56" s="103"/>
      <c r="K56" s="103"/>
      <c r="L56" s="103"/>
      <c r="M56" s="103"/>
      <c r="N56" s="103"/>
      <c r="O56" s="103" t="s">
        <v>116</v>
      </c>
      <c r="P56" s="103" t="s">
        <v>113</v>
      </c>
      <c r="Q56" s="103"/>
      <c r="R56" s="103" t="s">
        <v>179</v>
      </c>
    </row>
    <row r="57" spans="1:18" x14ac:dyDescent="0.3">
      <c r="A57" s="103" t="s">
        <v>118</v>
      </c>
      <c r="B57" s="103" t="s">
        <v>99</v>
      </c>
      <c r="C57" s="103" t="s">
        <v>155</v>
      </c>
      <c r="D57" s="103" t="s">
        <v>117</v>
      </c>
      <c r="E57" s="103">
        <v>200000</v>
      </c>
      <c r="F57" s="103"/>
      <c r="G57" s="103"/>
      <c r="H57" s="103"/>
      <c r="I57" s="103"/>
      <c r="J57" s="103"/>
      <c r="K57" s="103">
        <v>200000</v>
      </c>
      <c r="L57" s="103"/>
      <c r="M57" s="103"/>
      <c r="N57" s="103"/>
      <c r="O57" s="103" t="s">
        <v>140</v>
      </c>
      <c r="P57" s="103" t="s">
        <v>116</v>
      </c>
      <c r="Q57" s="103"/>
      <c r="R57" s="103" t="s">
        <v>141</v>
      </c>
    </row>
    <row r="58" spans="1:18" x14ac:dyDescent="0.3">
      <c r="A58" s="103" t="s">
        <v>118</v>
      </c>
      <c r="B58" s="103" t="s">
        <v>100</v>
      </c>
      <c r="C58" s="103" t="s">
        <v>156</v>
      </c>
      <c r="D58" s="103" t="s">
        <v>117</v>
      </c>
      <c r="E58" s="103">
        <v>-1515000</v>
      </c>
      <c r="F58" s="103"/>
      <c r="G58" s="103"/>
      <c r="H58" s="103"/>
      <c r="I58" s="103"/>
      <c r="J58" s="103"/>
      <c r="K58" s="103">
        <v>-1515000</v>
      </c>
      <c r="L58" s="103"/>
      <c r="M58" s="103"/>
      <c r="N58" s="103"/>
      <c r="O58" s="103" t="s">
        <v>116</v>
      </c>
      <c r="P58" s="103" t="s">
        <v>113</v>
      </c>
      <c r="Q58" s="103"/>
      <c r="R58" s="103" t="s">
        <v>157</v>
      </c>
    </row>
    <row r="59" spans="1:18" x14ac:dyDescent="0.3">
      <c r="A59" s="103" t="s">
        <v>118</v>
      </c>
      <c r="B59" s="103" t="s">
        <v>100</v>
      </c>
      <c r="C59" s="103" t="s">
        <v>159</v>
      </c>
      <c r="D59" s="103" t="s">
        <v>131</v>
      </c>
      <c r="E59" s="103">
        <v>-580186</v>
      </c>
      <c r="F59" s="103"/>
      <c r="G59" s="103"/>
      <c r="H59" s="103"/>
      <c r="I59" s="103"/>
      <c r="J59" s="103"/>
      <c r="K59" s="103">
        <v>-580186</v>
      </c>
      <c r="L59" s="103"/>
      <c r="M59" s="103"/>
      <c r="N59" s="103"/>
      <c r="O59" s="103" t="s">
        <v>116</v>
      </c>
      <c r="P59" s="103" t="s">
        <v>113</v>
      </c>
      <c r="Q59" s="103" t="s">
        <v>160</v>
      </c>
      <c r="R59" s="103" t="s">
        <v>161</v>
      </c>
    </row>
    <row r="60" spans="1:18" x14ac:dyDescent="0.3">
      <c r="A60" s="103" t="s">
        <v>118</v>
      </c>
      <c r="B60" s="103" t="s">
        <v>100</v>
      </c>
      <c r="C60" s="103" t="s">
        <v>162</v>
      </c>
      <c r="D60" s="103" t="s">
        <v>131</v>
      </c>
      <c r="E60" s="103">
        <v>-120639</v>
      </c>
      <c r="F60" s="103"/>
      <c r="G60" s="103"/>
      <c r="H60" s="103">
        <v>-120639</v>
      </c>
      <c r="I60" s="103"/>
      <c r="J60" s="103"/>
      <c r="K60" s="103"/>
      <c r="L60" s="103"/>
      <c r="M60" s="103"/>
      <c r="N60" s="103"/>
      <c r="O60" s="103" t="s">
        <v>116</v>
      </c>
      <c r="P60" s="103" t="s">
        <v>163</v>
      </c>
      <c r="Q60" s="103" t="s">
        <v>164</v>
      </c>
      <c r="R60" s="103" t="s">
        <v>165</v>
      </c>
    </row>
    <row r="61" spans="1:18" x14ac:dyDescent="0.3">
      <c r="A61" s="103" t="s">
        <v>118</v>
      </c>
      <c r="B61" s="103" t="s">
        <v>100</v>
      </c>
      <c r="C61" s="103" t="s">
        <v>170</v>
      </c>
      <c r="D61" s="103" t="s">
        <v>131</v>
      </c>
      <c r="E61" s="103">
        <v>-31179</v>
      </c>
      <c r="F61" s="103"/>
      <c r="G61" s="103"/>
      <c r="H61" s="103"/>
      <c r="I61" s="103"/>
      <c r="J61" s="103"/>
      <c r="K61" s="103">
        <v>-31179</v>
      </c>
      <c r="L61" s="103"/>
      <c r="M61" s="103"/>
      <c r="N61" s="103"/>
      <c r="O61" s="103" t="s">
        <v>116</v>
      </c>
      <c r="P61" s="103" t="s">
        <v>113</v>
      </c>
      <c r="Q61" s="103" t="s">
        <v>171</v>
      </c>
      <c r="R61" s="103" t="s">
        <v>172</v>
      </c>
    </row>
    <row r="62" spans="1:18" x14ac:dyDescent="0.3">
      <c r="A62" s="103" t="s">
        <v>118</v>
      </c>
      <c r="B62" s="103" t="s">
        <v>101</v>
      </c>
      <c r="C62" s="103" t="s">
        <v>126</v>
      </c>
      <c r="D62" s="103" t="s">
        <v>118</v>
      </c>
      <c r="E62" s="103">
        <v>559770</v>
      </c>
      <c r="F62" s="103"/>
      <c r="G62" s="103"/>
      <c r="H62" s="103">
        <v>559770</v>
      </c>
      <c r="I62" s="103"/>
      <c r="J62" s="103"/>
      <c r="K62" s="103"/>
      <c r="L62" s="103"/>
      <c r="M62" s="103"/>
      <c r="N62" s="103"/>
      <c r="O62" s="103" t="s">
        <v>113</v>
      </c>
      <c r="P62" s="103" t="s">
        <v>116</v>
      </c>
      <c r="Q62" s="103" t="s">
        <v>122</v>
      </c>
      <c r="R62" s="103" t="s">
        <v>128</v>
      </c>
    </row>
    <row r="63" spans="1:18" x14ac:dyDescent="0.3">
      <c r="A63" s="103" t="s">
        <v>118</v>
      </c>
      <c r="B63" s="103" t="s">
        <v>101</v>
      </c>
      <c r="C63" s="103" t="s">
        <v>121</v>
      </c>
      <c r="D63" s="103" t="s">
        <v>118</v>
      </c>
      <c r="E63" s="103">
        <v>220000</v>
      </c>
      <c r="F63" s="103"/>
      <c r="G63" s="103"/>
      <c r="H63" s="103">
        <v>220000</v>
      </c>
      <c r="I63" s="103"/>
      <c r="J63" s="103"/>
      <c r="K63" s="103"/>
      <c r="L63" s="103"/>
      <c r="M63" s="103"/>
      <c r="N63" s="103"/>
      <c r="O63" s="103" t="s">
        <v>113</v>
      </c>
      <c r="P63" s="103" t="s">
        <v>116</v>
      </c>
      <c r="Q63" s="103" t="s">
        <v>122</v>
      </c>
      <c r="R63" s="103" t="s">
        <v>129</v>
      </c>
    </row>
    <row r="64" spans="1:18" x14ac:dyDescent="0.3">
      <c r="A64" s="103" t="s">
        <v>118</v>
      </c>
      <c r="B64" s="103" t="s">
        <v>103</v>
      </c>
      <c r="C64" s="103" t="s">
        <v>142</v>
      </c>
      <c r="D64" s="103"/>
      <c r="E64" s="103">
        <v>496377</v>
      </c>
      <c r="F64" s="103"/>
      <c r="G64" s="103"/>
      <c r="H64" s="103">
        <v>496377</v>
      </c>
      <c r="I64" s="103"/>
      <c r="J64" s="103"/>
      <c r="K64" s="103"/>
      <c r="L64" s="103"/>
      <c r="M64" s="103"/>
      <c r="N64" s="103"/>
      <c r="O64" s="103" t="s">
        <v>137</v>
      </c>
      <c r="P64" s="103" t="s">
        <v>116</v>
      </c>
      <c r="Q64" s="103"/>
      <c r="R64" s="103" t="s">
        <v>143</v>
      </c>
    </row>
    <row r="65" spans="1:18" x14ac:dyDescent="0.3">
      <c r="A65" s="103" t="s">
        <v>118</v>
      </c>
      <c r="B65" s="103" t="s">
        <v>103</v>
      </c>
      <c r="C65" s="103" t="s">
        <v>136</v>
      </c>
      <c r="D65" s="103" t="s">
        <v>138</v>
      </c>
      <c r="E65" s="103">
        <v>289145</v>
      </c>
      <c r="F65" s="103"/>
      <c r="G65" s="103"/>
      <c r="H65" s="103"/>
      <c r="I65" s="103"/>
      <c r="J65" s="103"/>
      <c r="K65" s="103">
        <v>289145</v>
      </c>
      <c r="L65" s="103"/>
      <c r="M65" s="103"/>
      <c r="N65" s="103"/>
      <c r="O65" s="103" t="s">
        <v>137</v>
      </c>
      <c r="P65" s="103" t="s">
        <v>116</v>
      </c>
      <c r="Q65" s="103"/>
      <c r="R65" s="103" t="s">
        <v>139</v>
      </c>
    </row>
    <row r="66" spans="1:18" x14ac:dyDescent="0.3">
      <c r="A66" s="103" t="s">
        <v>118</v>
      </c>
      <c r="B66" s="103" t="s">
        <v>53</v>
      </c>
      <c r="C66" s="103" t="s">
        <v>175</v>
      </c>
      <c r="D66" s="103"/>
      <c r="E66" s="103">
        <v>-26312</v>
      </c>
      <c r="F66" s="103"/>
      <c r="G66" s="103"/>
      <c r="H66" s="103"/>
      <c r="I66" s="103"/>
      <c r="J66" s="103"/>
      <c r="K66" s="103"/>
      <c r="L66" s="103"/>
      <c r="M66" s="103"/>
      <c r="N66" s="103"/>
      <c r="O66" s="103" t="s">
        <v>116</v>
      </c>
      <c r="P66" s="103" t="s">
        <v>113</v>
      </c>
      <c r="Q66" s="103" t="s">
        <v>176</v>
      </c>
      <c r="R66" s="103" t="s">
        <v>177</v>
      </c>
    </row>
    <row r="67" spans="1:18" x14ac:dyDescent="0.3">
      <c r="A67" s="111" t="s">
        <v>117</v>
      </c>
      <c r="B67" s="111" t="s">
        <v>99</v>
      </c>
      <c r="C67" s="111" t="s">
        <v>206</v>
      </c>
      <c r="D67" s="111" t="s">
        <v>150</v>
      </c>
      <c r="E67" s="111">
        <v>162000</v>
      </c>
      <c r="F67" s="111"/>
      <c r="G67" s="111"/>
      <c r="H67" s="111">
        <v>162000</v>
      </c>
      <c r="I67" s="111"/>
      <c r="J67" s="111"/>
      <c r="K67" s="111"/>
      <c r="L67" s="111"/>
      <c r="M67" s="111"/>
      <c r="N67" s="111"/>
      <c r="O67" s="111" t="s">
        <v>207</v>
      </c>
      <c r="P67" s="111" t="s">
        <v>116</v>
      </c>
      <c r="Q67" s="111"/>
      <c r="R67" s="111" t="s">
        <v>208</v>
      </c>
    </row>
    <row r="68" spans="1:18" x14ac:dyDescent="0.3">
      <c r="A68" s="111" t="s">
        <v>117</v>
      </c>
      <c r="B68" s="111" t="s">
        <v>99</v>
      </c>
      <c r="C68" s="111" t="s">
        <v>209</v>
      </c>
      <c r="D68" s="111" t="s">
        <v>150</v>
      </c>
      <c r="E68" s="111">
        <v>156743</v>
      </c>
      <c r="F68" s="111"/>
      <c r="G68" s="111"/>
      <c r="H68" s="111">
        <v>156743</v>
      </c>
      <c r="I68" s="111"/>
      <c r="J68" s="111"/>
      <c r="K68" s="111"/>
      <c r="L68" s="111"/>
      <c r="M68" s="111"/>
      <c r="N68" s="111"/>
      <c r="O68" s="111" t="s">
        <v>137</v>
      </c>
      <c r="P68" s="111" t="s">
        <v>116</v>
      </c>
      <c r="Q68" s="111"/>
      <c r="R68" s="111" t="s">
        <v>210</v>
      </c>
    </row>
    <row r="69" spans="1:18" x14ac:dyDescent="0.3">
      <c r="A69" s="111" t="s">
        <v>117</v>
      </c>
      <c r="B69" s="111" t="s">
        <v>100</v>
      </c>
      <c r="C69" s="111" t="s">
        <v>130</v>
      </c>
      <c r="D69" s="111" t="s">
        <v>131</v>
      </c>
      <c r="E69" s="111">
        <v>-600000</v>
      </c>
      <c r="F69" s="111"/>
      <c r="G69" s="111"/>
      <c r="H69" s="111">
        <v>-600000</v>
      </c>
      <c r="I69" s="111"/>
      <c r="J69" s="111"/>
      <c r="K69" s="111"/>
      <c r="L69" s="111"/>
      <c r="M69" s="111"/>
      <c r="N69" s="111"/>
      <c r="O69" s="111" t="s">
        <v>116</v>
      </c>
      <c r="P69" s="111" t="s">
        <v>113</v>
      </c>
      <c r="Q69" s="111" t="s">
        <v>132</v>
      </c>
      <c r="R69" s="111" t="s">
        <v>123</v>
      </c>
    </row>
    <row r="70" spans="1:18" x14ac:dyDescent="0.3">
      <c r="A70" s="111" t="s">
        <v>117</v>
      </c>
      <c r="B70" s="111" t="s">
        <v>100</v>
      </c>
      <c r="C70" s="111" t="s">
        <v>158</v>
      </c>
      <c r="D70" s="111" t="s">
        <v>131</v>
      </c>
      <c r="E70" s="111">
        <v>-500000</v>
      </c>
      <c r="F70" s="111"/>
      <c r="G70" s="111"/>
      <c r="H70" s="111"/>
      <c r="I70" s="111"/>
      <c r="J70" s="111"/>
      <c r="K70" s="111">
        <v>-500000</v>
      </c>
      <c r="L70" s="111"/>
      <c r="M70" s="111"/>
      <c r="N70" s="111"/>
      <c r="O70" s="111" t="s">
        <v>116</v>
      </c>
      <c r="P70" s="111" t="s">
        <v>140</v>
      </c>
      <c r="Q70" s="111" t="s">
        <v>145</v>
      </c>
      <c r="R70" s="111" t="s">
        <v>146</v>
      </c>
    </row>
    <row r="71" spans="1:18" x14ac:dyDescent="0.3">
      <c r="A71" s="111" t="s">
        <v>117</v>
      </c>
      <c r="B71" s="111" t="s">
        <v>101</v>
      </c>
      <c r="C71" s="111" t="s">
        <v>156</v>
      </c>
      <c r="D71" s="111"/>
      <c r="E71" s="111">
        <v>1515000</v>
      </c>
      <c r="F71" s="111"/>
      <c r="G71" s="111"/>
      <c r="H71" s="111"/>
      <c r="I71" s="111"/>
      <c r="J71" s="111"/>
      <c r="K71" s="111">
        <v>1515000</v>
      </c>
      <c r="L71" s="111"/>
      <c r="M71" s="111"/>
      <c r="N71" s="111"/>
      <c r="O71" s="111" t="s">
        <v>113</v>
      </c>
      <c r="P71" s="111" t="s">
        <v>116</v>
      </c>
      <c r="Q71" s="111"/>
      <c r="R71" s="111" t="s">
        <v>157</v>
      </c>
    </row>
    <row r="72" spans="1:18" x14ac:dyDescent="0.3">
      <c r="A72" s="111" t="s">
        <v>117</v>
      </c>
      <c r="B72" s="111" t="s">
        <v>102</v>
      </c>
      <c r="C72" s="111" t="s">
        <v>115</v>
      </c>
      <c r="D72" s="111"/>
      <c r="E72" s="111">
        <v>-1515000</v>
      </c>
      <c r="F72" s="111"/>
      <c r="G72" s="111"/>
      <c r="H72" s="111"/>
      <c r="I72" s="111"/>
      <c r="J72" s="111"/>
      <c r="K72" s="111">
        <v>-1515000</v>
      </c>
      <c r="L72" s="111"/>
      <c r="M72" s="111"/>
      <c r="N72" s="111"/>
      <c r="O72" s="111" t="s">
        <v>116</v>
      </c>
      <c r="P72" s="111" t="s">
        <v>108</v>
      </c>
      <c r="Q72" s="111"/>
      <c r="R72" s="111" t="s">
        <v>133</v>
      </c>
    </row>
    <row r="73" spans="1:18" x14ac:dyDescent="0.3">
      <c r="A73" s="111" t="s">
        <v>117</v>
      </c>
      <c r="B73" s="111" t="s">
        <v>102</v>
      </c>
      <c r="C73" s="111" t="s">
        <v>155</v>
      </c>
      <c r="D73" s="111" t="s">
        <v>117</v>
      </c>
      <c r="E73" s="111">
        <v>-200000</v>
      </c>
      <c r="F73" s="111"/>
      <c r="G73" s="111"/>
      <c r="H73" s="111"/>
      <c r="I73" s="111"/>
      <c r="J73" s="111"/>
      <c r="K73" s="111">
        <v>-200000</v>
      </c>
      <c r="L73" s="111"/>
      <c r="M73" s="111"/>
      <c r="N73" s="111"/>
      <c r="O73" s="111" t="s">
        <v>116</v>
      </c>
      <c r="P73" s="111" t="s">
        <v>140</v>
      </c>
      <c r="Q73" s="111"/>
      <c r="R73" s="111" t="s">
        <v>141</v>
      </c>
    </row>
    <row r="74" spans="1:18" x14ac:dyDescent="0.3">
      <c r="A74" s="111" t="s">
        <v>117</v>
      </c>
      <c r="B74" s="111" t="s">
        <v>103</v>
      </c>
      <c r="C74" s="111" t="s">
        <v>136</v>
      </c>
      <c r="D74" s="111" t="s">
        <v>138</v>
      </c>
      <c r="E74" s="111">
        <v>289145</v>
      </c>
      <c r="F74" s="111"/>
      <c r="G74" s="111"/>
      <c r="H74" s="111"/>
      <c r="I74" s="111"/>
      <c r="J74" s="111"/>
      <c r="K74" s="111">
        <v>289145</v>
      </c>
      <c r="L74" s="111"/>
      <c r="M74" s="111"/>
      <c r="N74" s="111"/>
      <c r="O74" s="111" t="s">
        <v>137</v>
      </c>
      <c r="P74" s="111" t="s">
        <v>116</v>
      </c>
      <c r="Q74" s="111"/>
      <c r="R74" s="111" t="s">
        <v>144</v>
      </c>
    </row>
    <row r="75" spans="1:18" x14ac:dyDescent="0.3">
      <c r="A75" s="111" t="s">
        <v>131</v>
      </c>
      <c r="B75" s="111" t="s">
        <v>101</v>
      </c>
      <c r="C75" s="111" t="s">
        <v>130</v>
      </c>
      <c r="D75" s="111" t="s">
        <v>131</v>
      </c>
      <c r="E75" s="111">
        <v>600000</v>
      </c>
      <c r="F75" s="111"/>
      <c r="G75" s="111"/>
      <c r="H75" s="111">
        <v>600000</v>
      </c>
      <c r="I75" s="111"/>
      <c r="J75" s="111"/>
      <c r="K75" s="111"/>
      <c r="L75" s="111"/>
      <c r="M75" s="111"/>
      <c r="N75" s="111"/>
      <c r="O75" s="111" t="s">
        <v>113</v>
      </c>
      <c r="P75" s="111" t="s">
        <v>116</v>
      </c>
      <c r="Q75" s="111" t="s">
        <v>132</v>
      </c>
      <c r="R75" s="111" t="s">
        <v>134</v>
      </c>
    </row>
    <row r="76" spans="1:18" x14ac:dyDescent="0.3">
      <c r="A76" s="111" t="s">
        <v>131</v>
      </c>
      <c r="B76" s="111" t="s">
        <v>101</v>
      </c>
      <c r="C76" s="111" t="s">
        <v>158</v>
      </c>
      <c r="D76" s="111" t="s">
        <v>131</v>
      </c>
      <c r="E76" s="111">
        <v>500000</v>
      </c>
      <c r="F76" s="111"/>
      <c r="G76" s="111"/>
      <c r="H76" s="111"/>
      <c r="I76" s="111"/>
      <c r="J76" s="111"/>
      <c r="K76" s="111">
        <v>500000</v>
      </c>
      <c r="L76" s="111"/>
      <c r="M76" s="111"/>
      <c r="N76" s="111"/>
      <c r="O76" s="111" t="s">
        <v>140</v>
      </c>
      <c r="P76" s="111" t="s">
        <v>116</v>
      </c>
      <c r="Q76" s="111" t="s">
        <v>145</v>
      </c>
      <c r="R76" s="111" t="s">
        <v>146</v>
      </c>
    </row>
    <row r="77" spans="1:18" x14ac:dyDescent="0.3">
      <c r="A77" s="111" t="s">
        <v>131</v>
      </c>
      <c r="B77" s="111" t="s">
        <v>101</v>
      </c>
      <c r="C77" s="111" t="s">
        <v>159</v>
      </c>
      <c r="D77" s="111"/>
      <c r="E77" s="111">
        <v>580186</v>
      </c>
      <c r="F77" s="111"/>
      <c r="G77" s="111"/>
      <c r="H77" s="111"/>
      <c r="I77" s="111"/>
      <c r="J77" s="111"/>
      <c r="K77" s="111">
        <v>580186</v>
      </c>
      <c r="L77" s="111"/>
      <c r="M77" s="111"/>
      <c r="N77" s="111"/>
      <c r="O77" s="111" t="s">
        <v>113</v>
      </c>
      <c r="P77" s="111" t="s">
        <v>116</v>
      </c>
      <c r="Q77" s="111" t="s">
        <v>160</v>
      </c>
      <c r="R77" s="111" t="s">
        <v>166</v>
      </c>
    </row>
    <row r="78" spans="1:18" x14ac:dyDescent="0.3">
      <c r="A78" s="111" t="s">
        <v>131</v>
      </c>
      <c r="B78" s="111" t="s">
        <v>101</v>
      </c>
      <c r="C78" s="111" t="s">
        <v>162</v>
      </c>
      <c r="D78" s="111"/>
      <c r="E78" s="111">
        <v>120639</v>
      </c>
      <c r="F78" s="111"/>
      <c r="G78" s="111"/>
      <c r="H78" s="111">
        <v>120639</v>
      </c>
      <c r="I78" s="111"/>
      <c r="J78" s="111"/>
      <c r="K78" s="111"/>
      <c r="L78" s="111"/>
      <c r="M78" s="111"/>
      <c r="N78" s="111"/>
      <c r="O78" s="111" t="s">
        <v>163</v>
      </c>
      <c r="P78" s="111" t="s">
        <v>116</v>
      </c>
      <c r="Q78" s="111" t="s">
        <v>164</v>
      </c>
      <c r="R78" s="111" t="s">
        <v>167</v>
      </c>
    </row>
    <row r="79" spans="1:18" x14ac:dyDescent="0.3">
      <c r="A79" s="111" t="s">
        <v>131</v>
      </c>
      <c r="B79" s="111" t="s">
        <v>101</v>
      </c>
      <c r="C79" s="111" t="s">
        <v>170</v>
      </c>
      <c r="D79" s="111"/>
      <c r="E79" s="111">
        <v>31179</v>
      </c>
      <c r="F79" s="111"/>
      <c r="G79" s="111"/>
      <c r="H79" s="111"/>
      <c r="I79" s="111"/>
      <c r="J79" s="111"/>
      <c r="K79" s="111">
        <v>31179</v>
      </c>
      <c r="L79" s="111"/>
      <c r="M79" s="111"/>
      <c r="N79" s="111"/>
      <c r="O79" s="111" t="s">
        <v>113</v>
      </c>
      <c r="P79" s="111" t="s">
        <v>116</v>
      </c>
      <c r="Q79" s="111" t="s">
        <v>171</v>
      </c>
      <c r="R79" s="111" t="s">
        <v>172</v>
      </c>
    </row>
    <row r="80" spans="1:18" x14ac:dyDescent="0.3">
      <c r="A80" s="111" t="s">
        <v>131</v>
      </c>
      <c r="B80" s="111" t="s">
        <v>103</v>
      </c>
      <c r="C80" s="111" t="s">
        <v>136</v>
      </c>
      <c r="D80" s="111" t="s">
        <v>138</v>
      </c>
      <c r="E80" s="111">
        <v>289145</v>
      </c>
      <c r="F80" s="111"/>
      <c r="G80" s="111"/>
      <c r="H80" s="111"/>
      <c r="I80" s="111"/>
      <c r="J80" s="111"/>
      <c r="K80" s="111">
        <v>289145</v>
      </c>
      <c r="L80" s="111"/>
      <c r="M80" s="111"/>
      <c r="N80" s="111"/>
      <c r="O80" s="111" t="s">
        <v>137</v>
      </c>
      <c r="P80" s="111" t="s">
        <v>116</v>
      </c>
      <c r="Q80" s="111"/>
      <c r="R80" s="111" t="s">
        <v>147</v>
      </c>
    </row>
    <row r="81" spans="1:18" x14ac:dyDescent="0.3">
      <c r="A81" s="111" t="s">
        <v>148</v>
      </c>
      <c r="B81" s="111" t="s">
        <v>103</v>
      </c>
      <c r="C81" s="111" t="s">
        <v>136</v>
      </c>
      <c r="D81" s="111" t="s">
        <v>138</v>
      </c>
      <c r="E81" s="111">
        <v>289145</v>
      </c>
      <c r="F81" s="111"/>
      <c r="G81" s="111"/>
      <c r="H81" s="111"/>
      <c r="I81" s="111"/>
      <c r="J81" s="111"/>
      <c r="K81" s="111">
        <v>289145</v>
      </c>
      <c r="L81" s="111"/>
      <c r="M81" s="111"/>
      <c r="N81" s="111"/>
      <c r="O81" s="111" t="s">
        <v>137</v>
      </c>
      <c r="P81" s="111" t="s">
        <v>116</v>
      </c>
      <c r="Q81" s="111"/>
      <c r="R81" s="111" t="s">
        <v>149</v>
      </c>
    </row>
    <row r="82" spans="1:18" x14ac:dyDescent="0.3">
      <c r="A82" s="111" t="s">
        <v>150</v>
      </c>
      <c r="B82" s="111" t="s">
        <v>102</v>
      </c>
      <c r="C82" s="111" t="s">
        <v>206</v>
      </c>
      <c r="D82" s="111" t="s">
        <v>150</v>
      </c>
      <c r="E82" s="111">
        <v>-162000</v>
      </c>
      <c r="F82" s="111"/>
      <c r="G82" s="111"/>
      <c r="H82" s="111">
        <v>-162000</v>
      </c>
      <c r="I82" s="111"/>
      <c r="J82" s="111"/>
      <c r="K82" s="111"/>
      <c r="L82" s="111"/>
      <c r="M82" s="111"/>
      <c r="N82" s="111"/>
      <c r="O82" s="111" t="s">
        <v>116</v>
      </c>
      <c r="P82" s="111" t="s">
        <v>207</v>
      </c>
      <c r="Q82" s="111"/>
      <c r="R82" s="111" t="s">
        <v>208</v>
      </c>
    </row>
    <row r="83" spans="1:18" x14ac:dyDescent="0.3">
      <c r="A83" s="111" t="s">
        <v>150</v>
      </c>
      <c r="B83" s="111" t="s">
        <v>102</v>
      </c>
      <c r="C83" s="111" t="s">
        <v>209</v>
      </c>
      <c r="D83" s="111" t="s">
        <v>150</v>
      </c>
      <c r="E83" s="111">
        <v>-156743</v>
      </c>
      <c r="F83" s="111"/>
      <c r="G83" s="111"/>
      <c r="H83" s="111">
        <v>-156743</v>
      </c>
      <c r="I83" s="111"/>
      <c r="J83" s="111"/>
      <c r="K83" s="111"/>
      <c r="L83" s="111"/>
      <c r="M83" s="111"/>
      <c r="N83" s="111"/>
      <c r="O83" s="111" t="s">
        <v>116</v>
      </c>
      <c r="P83" s="111" t="s">
        <v>137</v>
      </c>
      <c r="Q83" s="111"/>
      <c r="R83" s="111" t="s">
        <v>210</v>
      </c>
    </row>
    <row r="84" spans="1:18" x14ac:dyDescent="0.3">
      <c r="A84" s="25" t="s">
        <v>150</v>
      </c>
      <c r="B84" s="25" t="s">
        <v>103</v>
      </c>
      <c r="C84" s="25" t="s">
        <v>136</v>
      </c>
      <c r="D84" s="25" t="s">
        <v>151</v>
      </c>
      <c r="E84" s="25">
        <v>289145</v>
      </c>
      <c r="H84" s="25"/>
      <c r="K84" s="25">
        <v>289145</v>
      </c>
      <c r="O84" s="25" t="s">
        <v>137</v>
      </c>
      <c r="P84" s="25" t="s">
        <v>116</v>
      </c>
      <c r="R84" s="25" t="s">
        <v>152</v>
      </c>
    </row>
    <row r="85" spans="1:18" x14ac:dyDescent="0.3">
      <c r="A85" s="25" t="s">
        <v>138</v>
      </c>
      <c r="B85" s="25" t="s">
        <v>103</v>
      </c>
      <c r="C85" s="25" t="s">
        <v>136</v>
      </c>
      <c r="D85" s="25" t="s">
        <v>151</v>
      </c>
      <c r="E85" s="25">
        <v>289145</v>
      </c>
      <c r="H85" s="25"/>
      <c r="K85" s="25">
        <v>289145</v>
      </c>
      <c r="O85" s="25" t="s">
        <v>137</v>
      </c>
      <c r="P85" s="25" t="s">
        <v>116</v>
      </c>
      <c r="R85" s="25" t="s">
        <v>153</v>
      </c>
    </row>
    <row r="86" spans="1:18" x14ac:dyDescent="0.3">
      <c r="A86" s="25" t="s">
        <v>151</v>
      </c>
      <c r="B86" s="25" t="s">
        <v>103</v>
      </c>
      <c r="C86" s="25" t="s">
        <v>136</v>
      </c>
      <c r="D86" s="25" t="s">
        <v>151</v>
      </c>
      <c r="E86" s="25">
        <v>289145</v>
      </c>
      <c r="H86" s="25"/>
      <c r="K86" s="25">
        <v>289145</v>
      </c>
      <c r="O86" s="25" t="s">
        <v>137</v>
      </c>
      <c r="P86" s="25" t="s">
        <v>116</v>
      </c>
      <c r="R86" s="25" t="s">
        <v>154</v>
      </c>
    </row>
    <row r="87" spans="1:18" x14ac:dyDescent="0.3">
      <c r="H87" s="25"/>
    </row>
    <row r="88" spans="1:18" x14ac:dyDescent="0.3">
      <c r="H88" s="25"/>
    </row>
    <row r="89" spans="1:18" x14ac:dyDescent="0.3">
      <c r="H89" s="25"/>
    </row>
    <row r="90" spans="1:18" x14ac:dyDescent="0.3">
      <c r="A90" s="148"/>
      <c r="B90" s="148"/>
      <c r="C90" s="148"/>
      <c r="D90" s="148"/>
      <c r="E90" s="148"/>
      <c r="F90" s="148"/>
      <c r="G90" s="148"/>
      <c r="H90" s="148"/>
      <c r="I90" s="148"/>
      <c r="J90" s="148"/>
      <c r="K90" s="148"/>
      <c r="L90" s="148"/>
      <c r="M90" s="148"/>
      <c r="N90" s="148"/>
      <c r="O90" s="148"/>
      <c r="P90" s="148"/>
      <c r="Q90" s="148"/>
      <c r="R90" s="148"/>
    </row>
    <row r="91" spans="1:18" x14ac:dyDescent="0.3">
      <c r="A91" s="148"/>
      <c r="B91" s="148"/>
      <c r="C91" s="148"/>
      <c r="D91" s="148"/>
      <c r="E91" s="148"/>
      <c r="F91" s="148"/>
      <c r="G91" s="148"/>
      <c r="H91" s="148"/>
      <c r="I91" s="148"/>
      <c r="J91" s="148"/>
      <c r="K91" s="148"/>
      <c r="L91" s="148"/>
      <c r="M91" s="148"/>
      <c r="N91" s="148"/>
      <c r="O91" s="148"/>
      <c r="P91" s="148"/>
      <c r="Q91" s="148"/>
      <c r="R91" s="148"/>
    </row>
    <row r="92" spans="1:18" x14ac:dyDescent="0.3">
      <c r="A92" s="148"/>
      <c r="B92" s="148"/>
      <c r="C92" s="148"/>
      <c r="D92" s="148"/>
      <c r="E92" s="148"/>
      <c r="F92" s="148"/>
      <c r="G92" s="148"/>
      <c r="H92" s="148"/>
      <c r="I92" s="148"/>
      <c r="J92" s="148"/>
      <c r="K92" s="148"/>
      <c r="L92" s="148"/>
      <c r="M92" s="148"/>
      <c r="N92" s="148"/>
      <c r="O92" s="148"/>
      <c r="P92" s="148"/>
      <c r="Q92" s="148"/>
      <c r="R92" s="148"/>
    </row>
    <row r="93" spans="1:18" x14ac:dyDescent="0.3">
      <c r="A93" s="148"/>
      <c r="B93" s="148"/>
      <c r="C93" s="148"/>
      <c r="D93" s="148"/>
      <c r="E93" s="148"/>
      <c r="F93" s="148"/>
      <c r="G93" s="148"/>
      <c r="H93" s="148"/>
      <c r="I93" s="148"/>
      <c r="J93" s="148"/>
      <c r="K93" s="148"/>
      <c r="L93" s="148"/>
      <c r="M93" s="148"/>
      <c r="N93" s="148"/>
      <c r="O93" s="148"/>
      <c r="P93" s="148"/>
      <c r="Q93" s="148"/>
      <c r="R93" s="148"/>
    </row>
  </sheetData>
  <mergeCells count="5">
    <mergeCell ref="A1:F1"/>
    <mergeCell ref="A3:F3"/>
    <mergeCell ref="A9:G9"/>
    <mergeCell ref="A49:G49"/>
    <mergeCell ref="A7:H7"/>
  </mergeCells>
  <pageMargins left="0.7" right="0.7" top="0.75" bottom="0.75" header="0.3" footer="0.3"/>
  <pageSetup paperSize="17" scale="72" fitToHeight="0"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zoomScaleNormal="100" workbookViewId="0"/>
  </sheetViews>
  <sheetFormatPr defaultRowHeight="14.4" x14ac:dyDescent="0.3"/>
  <cols>
    <col min="1" max="1" width="9.109375" style="1"/>
    <col min="2" max="2" width="20.6640625" customWidth="1"/>
    <col min="3" max="3" width="37.44140625" customWidth="1"/>
    <col min="4" max="4" width="15.6640625" customWidth="1"/>
    <col min="5" max="5" width="18.33203125" customWidth="1"/>
  </cols>
  <sheetData>
    <row r="1" spans="1:5" x14ac:dyDescent="0.35">
      <c r="A1" s="4" t="s">
        <v>13</v>
      </c>
      <c r="B1" s="199" t="s">
        <v>14</v>
      </c>
      <c r="C1" s="199"/>
      <c r="D1" s="199"/>
      <c r="E1" s="199"/>
    </row>
    <row r="2" spans="1:5" ht="75.599999999999994" customHeight="1" x14ac:dyDescent="0.35">
      <c r="A2" s="1">
        <v>1</v>
      </c>
      <c r="B2" s="192" t="s">
        <v>16</v>
      </c>
      <c r="C2" s="192"/>
      <c r="D2" s="192"/>
      <c r="E2" s="192"/>
    </row>
    <row r="3" spans="1:5" ht="7.8" customHeight="1" x14ac:dyDescent="0.35">
      <c r="B3" s="3"/>
      <c r="C3" s="3"/>
      <c r="D3" s="3"/>
      <c r="E3" s="3"/>
    </row>
    <row r="4" spans="1:5" ht="33" customHeight="1" x14ac:dyDescent="0.35">
      <c r="A4" s="1">
        <v>2</v>
      </c>
      <c r="B4" s="192" t="s">
        <v>17</v>
      </c>
      <c r="C4" s="192"/>
      <c r="D4" s="192"/>
      <c r="E4" s="192"/>
    </row>
    <row r="5" spans="1:5" ht="7.8" customHeight="1" x14ac:dyDescent="0.35">
      <c r="B5" s="3"/>
      <c r="C5" s="3"/>
      <c r="D5" s="3"/>
      <c r="E5" s="3"/>
    </row>
    <row r="6" spans="1:5" s="17" customFormat="1" ht="105" customHeight="1" x14ac:dyDescent="0.35">
      <c r="A6" s="18">
        <v>3</v>
      </c>
      <c r="B6" s="193" t="s">
        <v>75</v>
      </c>
      <c r="C6" s="193"/>
      <c r="D6" s="193"/>
      <c r="E6" s="193"/>
    </row>
    <row r="7" spans="1:5" s="17" customFormat="1" ht="7.8" customHeight="1" x14ac:dyDescent="0.35">
      <c r="A7" s="18"/>
      <c r="B7" s="19"/>
      <c r="C7" s="19"/>
      <c r="D7" s="19"/>
      <c r="E7" s="19"/>
    </row>
    <row r="8" spans="1:5" ht="18" customHeight="1" x14ac:dyDescent="0.3">
      <c r="A8" s="1">
        <v>4</v>
      </c>
      <c r="B8" s="196" t="s">
        <v>66</v>
      </c>
      <c r="C8" s="196"/>
      <c r="D8" s="8"/>
      <c r="E8" s="8"/>
    </row>
    <row r="9" spans="1:5" ht="18" customHeight="1" x14ac:dyDescent="0.3">
      <c r="B9" s="201" t="s">
        <v>180</v>
      </c>
      <c r="C9" s="201"/>
      <c r="D9" s="13">
        <v>125000</v>
      </c>
    </row>
    <row r="10" spans="1:5" ht="18" customHeight="1" x14ac:dyDescent="0.3">
      <c r="B10" s="192" t="s">
        <v>181</v>
      </c>
      <c r="C10" s="192"/>
      <c r="D10" s="12">
        <v>-31250</v>
      </c>
    </row>
    <row r="11" spans="1:5" ht="18" customHeight="1" x14ac:dyDescent="0.3">
      <c r="B11" s="201" t="s">
        <v>182</v>
      </c>
      <c r="C11" s="201"/>
      <c r="D11" s="14">
        <f>+D9+D10</f>
        <v>93750</v>
      </c>
    </row>
    <row r="12" spans="1:5" ht="31.5" customHeight="1" x14ac:dyDescent="0.3">
      <c r="B12" s="192" t="s">
        <v>183</v>
      </c>
      <c r="C12" s="192"/>
      <c r="D12" s="11">
        <v>31250</v>
      </c>
    </row>
    <row r="13" spans="1:5" ht="36.75" customHeight="1" x14ac:dyDescent="0.3">
      <c r="B13" s="201" t="s">
        <v>184</v>
      </c>
      <c r="C13" s="201"/>
      <c r="D13" s="15">
        <f>SUM(D11:D12)</f>
        <v>125000</v>
      </c>
    </row>
    <row r="14" spans="1:5" s="17" customFormat="1" ht="7.8" customHeight="1" x14ac:dyDescent="0.3">
      <c r="A14" s="18"/>
      <c r="B14" s="22"/>
      <c r="C14" s="22"/>
      <c r="D14" s="23"/>
    </row>
    <row r="15" spans="1:5" s="17" customFormat="1" ht="78.599999999999994" customHeight="1" x14ac:dyDescent="0.3">
      <c r="A15" s="1">
        <v>5</v>
      </c>
      <c r="B15" s="200" t="s">
        <v>67</v>
      </c>
      <c r="C15" s="200"/>
      <c r="D15" s="200"/>
      <c r="E15" s="200"/>
    </row>
    <row r="16" spans="1:5" ht="7.8" customHeight="1" x14ac:dyDescent="0.3">
      <c r="B16" s="3"/>
      <c r="C16" s="3"/>
      <c r="D16" s="3"/>
      <c r="E16" s="3"/>
    </row>
    <row r="17" spans="1:5" ht="14.4" customHeight="1" x14ac:dyDescent="0.3">
      <c r="A17" s="1">
        <v>6</v>
      </c>
      <c r="B17" s="192" t="s">
        <v>195</v>
      </c>
      <c r="C17" s="192"/>
      <c r="D17" s="192"/>
      <c r="E17" s="192"/>
    </row>
    <row r="18" spans="1:5" ht="7.8" customHeight="1" x14ac:dyDescent="0.3">
      <c r="B18" s="10"/>
      <c r="C18" s="10"/>
      <c r="D18" s="10"/>
      <c r="E18" s="10"/>
    </row>
    <row r="19" spans="1:5" ht="33" customHeight="1" x14ac:dyDescent="0.3">
      <c r="A19" s="1">
        <v>7</v>
      </c>
      <c r="B19" s="192" t="s">
        <v>39</v>
      </c>
      <c r="C19" s="192"/>
      <c r="D19" s="192"/>
      <c r="E19" s="192"/>
    </row>
    <row r="20" spans="1:5" ht="7.8" customHeight="1" x14ac:dyDescent="0.3">
      <c r="B20" s="7"/>
      <c r="C20" s="7"/>
      <c r="D20" s="7"/>
      <c r="E20" s="7"/>
    </row>
    <row r="21" spans="1:5" ht="47.25" customHeight="1" x14ac:dyDescent="0.3">
      <c r="A21" s="1">
        <v>8</v>
      </c>
      <c r="B21" s="192" t="s">
        <v>40</v>
      </c>
      <c r="C21" s="192"/>
      <c r="D21" s="192"/>
      <c r="E21" s="192"/>
    </row>
    <row r="22" spans="1:5" ht="7.8" customHeight="1" x14ac:dyDescent="0.3">
      <c r="B22" s="7"/>
      <c r="C22" s="7"/>
      <c r="D22" s="7"/>
      <c r="E22" s="7"/>
    </row>
    <row r="23" spans="1:5" ht="32.25" customHeight="1" x14ac:dyDescent="0.3">
      <c r="A23" s="1">
        <v>9</v>
      </c>
      <c r="B23" s="192" t="s">
        <v>38</v>
      </c>
      <c r="C23" s="192"/>
      <c r="D23" s="192"/>
      <c r="E23" s="192"/>
    </row>
    <row r="24" spans="1:5" ht="7.8" customHeight="1" x14ac:dyDescent="0.3">
      <c r="B24" s="7"/>
      <c r="C24" s="7"/>
      <c r="D24" s="7"/>
      <c r="E24" s="7"/>
    </row>
    <row r="25" spans="1:5" ht="33" customHeight="1" x14ac:dyDescent="0.3">
      <c r="A25" s="1">
        <v>10</v>
      </c>
      <c r="B25" s="192" t="s">
        <v>41</v>
      </c>
      <c r="C25" s="192"/>
      <c r="D25" s="192"/>
      <c r="E25" s="192"/>
    </row>
    <row r="26" spans="1:5" ht="7.8" customHeight="1" x14ac:dyDescent="0.3">
      <c r="B26" s="3"/>
      <c r="C26" s="3"/>
      <c r="D26" s="3"/>
      <c r="E26" s="3"/>
    </row>
    <row r="27" spans="1:5" ht="30" customHeight="1" x14ac:dyDescent="0.3">
      <c r="A27" s="1">
        <v>11</v>
      </c>
      <c r="B27" s="192" t="s">
        <v>42</v>
      </c>
      <c r="C27" s="192"/>
      <c r="D27" s="192"/>
      <c r="E27" s="192"/>
    </row>
    <row r="28" spans="1:5" ht="7.8" customHeight="1" x14ac:dyDescent="0.3">
      <c r="B28" s="3"/>
      <c r="C28" s="3"/>
      <c r="D28" s="3"/>
      <c r="E28" s="3"/>
    </row>
    <row r="29" spans="1:5" ht="31.5" customHeight="1" x14ac:dyDescent="0.3">
      <c r="A29" s="1">
        <v>12</v>
      </c>
      <c r="B29" s="192" t="s">
        <v>43</v>
      </c>
      <c r="C29" s="192"/>
      <c r="D29" s="192"/>
      <c r="E29" s="192"/>
    </row>
    <row r="30" spans="1:5" ht="7.8" customHeight="1" x14ac:dyDescent="0.3">
      <c r="B30" s="7"/>
      <c r="C30" s="7"/>
      <c r="D30" s="7"/>
      <c r="E30" s="7"/>
    </row>
    <row r="31" spans="1:5" ht="34.5" customHeight="1" x14ac:dyDescent="0.3">
      <c r="A31" s="1">
        <v>13</v>
      </c>
      <c r="B31" s="192" t="s">
        <v>18</v>
      </c>
      <c r="C31" s="192"/>
      <c r="D31" s="192"/>
      <c r="E31" s="192"/>
    </row>
    <row r="32" spans="1:5" ht="7.8" customHeight="1" x14ac:dyDescent="0.3">
      <c r="B32" s="3"/>
      <c r="C32" s="3"/>
      <c r="D32" s="3"/>
      <c r="E32" s="3"/>
    </row>
    <row r="33" spans="1:5" ht="48.6" customHeight="1" x14ac:dyDescent="0.3">
      <c r="A33" s="1">
        <v>14</v>
      </c>
      <c r="B33" s="192" t="s">
        <v>19</v>
      </c>
      <c r="C33" s="192"/>
      <c r="D33" s="192"/>
      <c r="E33" s="192"/>
    </row>
    <row r="34" spans="1:5" ht="7.8" customHeight="1" x14ac:dyDescent="0.3">
      <c r="B34" s="3"/>
      <c r="C34" s="3"/>
      <c r="D34" s="3"/>
      <c r="E34" s="3"/>
    </row>
    <row r="35" spans="1:5" x14ac:dyDescent="0.3">
      <c r="A35" s="1">
        <v>15</v>
      </c>
      <c r="B35" s="196" t="s">
        <v>34</v>
      </c>
      <c r="C35" s="196"/>
      <c r="D35" s="196"/>
      <c r="E35" s="196"/>
    </row>
    <row r="36" spans="1:5" x14ac:dyDescent="0.3">
      <c r="B36" s="16" t="s">
        <v>7</v>
      </c>
      <c r="C36" s="197" t="s">
        <v>20</v>
      </c>
      <c r="D36" s="197"/>
      <c r="E36" s="197"/>
    </row>
    <row r="37" spans="1:5" x14ac:dyDescent="0.3">
      <c r="B37" s="5" t="s">
        <v>21</v>
      </c>
      <c r="C37" s="198" t="s">
        <v>28</v>
      </c>
      <c r="D37" s="198"/>
      <c r="E37" s="198"/>
    </row>
    <row r="38" spans="1:5" x14ac:dyDescent="0.3">
      <c r="B38" s="16" t="s">
        <v>22</v>
      </c>
      <c r="C38" s="197" t="s">
        <v>29</v>
      </c>
      <c r="D38" s="197"/>
      <c r="E38" s="197"/>
    </row>
    <row r="39" spans="1:5" x14ac:dyDescent="0.3">
      <c r="B39" s="5" t="s">
        <v>23</v>
      </c>
      <c r="C39" s="198" t="s">
        <v>32</v>
      </c>
      <c r="D39" s="198"/>
      <c r="E39" s="198"/>
    </row>
    <row r="40" spans="1:5" x14ac:dyDescent="0.3">
      <c r="B40" s="16" t="s">
        <v>9</v>
      </c>
      <c r="C40" s="197" t="s">
        <v>30</v>
      </c>
      <c r="D40" s="197"/>
      <c r="E40" s="197"/>
    </row>
    <row r="41" spans="1:5" x14ac:dyDescent="0.3">
      <c r="B41" s="5" t="s">
        <v>8</v>
      </c>
      <c r="C41" s="198" t="s">
        <v>24</v>
      </c>
      <c r="D41" s="198"/>
      <c r="E41" s="198"/>
    </row>
    <row r="42" spans="1:5" x14ac:dyDescent="0.3">
      <c r="B42" s="16" t="s">
        <v>25</v>
      </c>
      <c r="C42" s="197" t="s">
        <v>26</v>
      </c>
      <c r="D42" s="197"/>
      <c r="E42" s="197"/>
    </row>
    <row r="43" spans="1:5" x14ac:dyDescent="0.3">
      <c r="B43" s="5" t="s">
        <v>27</v>
      </c>
      <c r="C43" s="198" t="s">
        <v>31</v>
      </c>
      <c r="D43" s="198"/>
      <c r="E43" s="198"/>
    </row>
    <row r="44" spans="1:5" s="17" customFormat="1" ht="7.8" customHeight="1" x14ac:dyDescent="0.3">
      <c r="A44" s="18"/>
      <c r="B44" s="20"/>
      <c r="C44" s="21"/>
      <c r="D44" s="21"/>
      <c r="E44" s="21"/>
    </row>
    <row r="45" spans="1:5" s="17" customFormat="1" x14ac:dyDescent="0.3">
      <c r="A45" s="18">
        <v>16</v>
      </c>
      <c r="B45" s="24" t="s">
        <v>76</v>
      </c>
      <c r="C45" s="21"/>
      <c r="D45" s="21"/>
      <c r="E45" s="21"/>
    </row>
    <row r="46" spans="1:5" s="17" customFormat="1" ht="30" customHeight="1" x14ac:dyDescent="0.3">
      <c r="A46" s="18"/>
      <c r="B46" s="16" t="s">
        <v>57</v>
      </c>
      <c r="C46" s="197" t="s">
        <v>78</v>
      </c>
      <c r="D46" s="197"/>
      <c r="E46" s="197"/>
    </row>
    <row r="47" spans="1:5" s="17" customFormat="1" x14ac:dyDescent="0.3">
      <c r="A47" s="18"/>
      <c r="B47" s="20" t="s">
        <v>58</v>
      </c>
      <c r="C47" s="198" t="s">
        <v>77</v>
      </c>
      <c r="D47" s="198"/>
      <c r="E47" s="198"/>
    </row>
    <row r="48" spans="1:5" s="17" customFormat="1" ht="48.75" customHeight="1" x14ac:dyDescent="0.3">
      <c r="A48" s="18"/>
      <c r="B48" s="16" t="s">
        <v>59</v>
      </c>
      <c r="C48" s="197" t="s">
        <v>80</v>
      </c>
      <c r="D48" s="197"/>
      <c r="E48" s="197"/>
    </row>
    <row r="49" spans="1:5" s="17" customFormat="1" ht="29.25" customHeight="1" x14ac:dyDescent="0.3">
      <c r="A49" s="18"/>
      <c r="B49" s="20" t="s">
        <v>60</v>
      </c>
      <c r="C49" s="198" t="s">
        <v>79</v>
      </c>
      <c r="D49" s="198"/>
      <c r="E49" s="198"/>
    </row>
    <row r="50" spans="1:5" ht="7.8" customHeight="1" x14ac:dyDescent="0.3">
      <c r="B50" s="5"/>
      <c r="C50" s="6"/>
      <c r="D50" s="6"/>
      <c r="E50" s="6"/>
    </row>
    <row r="51" spans="1:5" ht="94.5" customHeight="1" x14ac:dyDescent="0.3">
      <c r="A51" s="1">
        <v>17</v>
      </c>
      <c r="B51" s="195" t="s">
        <v>33</v>
      </c>
      <c r="C51" s="195"/>
      <c r="D51" s="195"/>
      <c r="E51" s="195"/>
    </row>
    <row r="52" spans="1:5" ht="7.8" customHeight="1" x14ac:dyDescent="0.3"/>
    <row r="53" spans="1:5" ht="7.8" customHeight="1" x14ac:dyDescent="0.3">
      <c r="B53" s="2"/>
    </row>
    <row r="54" spans="1:5" x14ac:dyDescent="0.3">
      <c r="A54" s="194" t="s">
        <v>35</v>
      </c>
      <c r="B54" s="194"/>
      <c r="C54" s="194"/>
      <c r="D54" s="194"/>
      <c r="E54" s="194"/>
    </row>
  </sheetData>
  <mergeCells count="35">
    <mergeCell ref="C46:E46"/>
    <mergeCell ref="C47:E47"/>
    <mergeCell ref="C49:E49"/>
    <mergeCell ref="C48:E48"/>
    <mergeCell ref="B29:E29"/>
    <mergeCell ref="B31:E31"/>
    <mergeCell ref="B33:E33"/>
    <mergeCell ref="B21:E21"/>
    <mergeCell ref="B23:E23"/>
    <mergeCell ref="B1:E1"/>
    <mergeCell ref="B2:E2"/>
    <mergeCell ref="B4:E4"/>
    <mergeCell ref="B15:E15"/>
    <mergeCell ref="B10:C10"/>
    <mergeCell ref="B11:C11"/>
    <mergeCell ref="B13:C13"/>
    <mergeCell ref="B12:C12"/>
    <mergeCell ref="B8:C8"/>
    <mergeCell ref="B9:C9"/>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Patrick Stone</cp:lastModifiedBy>
  <cp:lastPrinted>2014-08-04T15:05:04Z</cp:lastPrinted>
  <dcterms:created xsi:type="dcterms:W3CDTF">2013-05-11T20:19:37Z</dcterms:created>
  <dcterms:modified xsi:type="dcterms:W3CDTF">2015-09-27T14:58:38Z</dcterms:modified>
</cp:coreProperties>
</file>