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Transactions'!$A$1:$S$53</definedName>
    <definedName name="Query_from_MS_Access_Database" localSheetId="1" hidden="1">'Regional Loans and Transfers'!$A$11:$R$62</definedName>
    <definedName name="Query_from_MS_Access_Database_1" localSheetId="0" hidden="1">'Federal Funds Transactions'!$A$15:$P$33</definedName>
    <definedName name="Query_from_MS_Access_Database_1" localSheetId="1" hidden="1">'Regional Loans and Transfers'!$A$68:$R$120</definedName>
    <definedName name="Query_from_MS_Access_Database_2" localSheetId="0" hidden="1">'Federal Funds Transactions'!$A$38:$P$39</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R48" i="1" l="1"/>
  <c r="O5" i="1"/>
  <c r="Q39" i="1" l="1"/>
  <c r="I39" i="1"/>
  <c r="I16" i="1"/>
  <c r="I17" i="1"/>
  <c r="I18" i="1"/>
  <c r="I19" i="1"/>
  <c r="I20" i="1"/>
  <c r="I21" i="1"/>
  <c r="I22" i="1"/>
  <c r="I23" i="1"/>
  <c r="I24" i="1"/>
  <c r="I25" i="1"/>
  <c r="I26" i="1"/>
  <c r="I27" i="1"/>
  <c r="I28" i="1"/>
  <c r="I29" i="1"/>
  <c r="I30" i="1"/>
  <c r="I31" i="1"/>
  <c r="I32" i="1"/>
  <c r="I33" i="1"/>
  <c r="Q16" i="1"/>
  <c r="Q17" i="1"/>
  <c r="Q18" i="1"/>
  <c r="Q19" i="1"/>
  <c r="Q20" i="1"/>
  <c r="Q21" i="1"/>
  <c r="Q22" i="1"/>
  <c r="Q23" i="1"/>
  <c r="Q24" i="1"/>
  <c r="Q25" i="1"/>
  <c r="Q26" i="1"/>
  <c r="Q27" i="1"/>
  <c r="Q28" i="1"/>
  <c r="Q29" i="1"/>
  <c r="Q30" i="1"/>
  <c r="Q31" i="1"/>
  <c r="Q32" i="1"/>
  <c r="Q33" i="1"/>
  <c r="P5" i="1" l="1"/>
  <c r="R11" i="1" l="1"/>
  <c r="P11" i="1"/>
  <c r="O11" i="1"/>
  <c r="N11" i="1"/>
  <c r="R10" i="1"/>
  <c r="P10" i="1"/>
  <c r="O10" i="1"/>
  <c r="N10" i="1"/>
  <c r="R9" i="1"/>
  <c r="P9" i="1"/>
  <c r="O9" i="1"/>
  <c r="N9" i="1"/>
  <c r="R8" i="1"/>
  <c r="P8" i="1"/>
  <c r="O8" i="1"/>
  <c r="N8" i="1"/>
  <c r="R7" i="1"/>
  <c r="P7" i="1"/>
  <c r="O7" i="1"/>
  <c r="N7" i="1"/>
  <c r="R6" i="1"/>
  <c r="P6" i="1"/>
  <c r="O6" i="1"/>
  <c r="N6" i="1"/>
  <c r="N47" i="1" l="1"/>
  <c r="R47" i="1" l="1"/>
  <c r="P47" i="1"/>
  <c r="O47" i="1"/>
  <c r="D13" i="2"/>
  <c r="D11" i="2"/>
  <c r="Q4" i="1"/>
  <c r="Q5" i="1" l="1"/>
  <c r="R5" i="1" s="1"/>
  <c r="Q47" i="1" l="1"/>
  <c r="B5" i="3"/>
  <c r="Q40" i="1" l="1"/>
  <c r="A7" i="3"/>
  <c r="O40" i="1" l="1"/>
  <c r="P40" i="1"/>
  <c r="N40" i="1"/>
  <c r="O34" i="1"/>
  <c r="P34" i="1"/>
  <c r="N34" i="1"/>
  <c r="Q7" i="1" l="1"/>
  <c r="Q8" i="1"/>
  <c r="Q9" i="1"/>
  <c r="Q10" i="1"/>
  <c r="Q11" i="1"/>
  <c r="O12" i="1" l="1"/>
  <c r="O35" i="1" s="1"/>
  <c r="O41" i="1" s="1"/>
  <c r="O46" i="1" s="1"/>
  <c r="O48" i="1" s="1"/>
  <c r="Q6" i="1" l="1"/>
  <c r="A1" i="3" l="1"/>
  <c r="N12" i="1" l="1"/>
  <c r="N35" i="1" s="1"/>
  <c r="N41" i="1" s="1"/>
  <c r="N46" i="1" s="1"/>
  <c r="N48" i="1" s="1"/>
  <c r="P12" i="1" l="1"/>
  <c r="Q12" i="1" l="1"/>
  <c r="P35" i="1"/>
  <c r="P41" i="1" s="1"/>
  <c r="P46" i="1" s="1"/>
  <c r="P48" i="1" s="1"/>
  <c r="R12" i="1"/>
  <c r="R16" i="1" s="1"/>
  <c r="R17" i="1" s="1"/>
  <c r="R18" i="1" s="1"/>
  <c r="R19" i="1" s="1"/>
  <c r="R20" i="1" s="1"/>
  <c r="R21" i="1" s="1"/>
  <c r="R22" i="1" s="1"/>
  <c r="R23" i="1" s="1"/>
  <c r="R24" i="1" s="1"/>
  <c r="R25" i="1" s="1"/>
  <c r="R26" i="1" s="1"/>
  <c r="R27" i="1" s="1"/>
  <c r="R28" i="1" s="1"/>
  <c r="R29" i="1" s="1"/>
  <c r="R30" i="1" s="1"/>
  <c r="R31" i="1" s="1"/>
  <c r="R32" i="1" s="1"/>
  <c r="R33" i="1" s="1"/>
  <c r="R39" i="1" s="1"/>
  <c r="P49" i="1" l="1"/>
  <c r="Q46" i="1"/>
  <c r="Q48" i="1" s="1"/>
  <c r="Q34" i="1"/>
  <c r="Q35" i="1" s="1"/>
  <c r="Q41" i="1" s="1"/>
  <c r="R46"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SIP, `08-WACOG LEDGER`.SPR, `08-WACOG LEDGER`.`STP OTHER`_x000d__x000a_FROM `G:\FMS\RESOURCE\ACCESS\010614 PBPF\011614 PBPF front.accdb`.`08-WACOG LEDGER` `08-WACOG LEDGER`_x000d__x000a_WHERE (`08-WACOG LEDGER`.`ADOT#`&lt;&gt;'Trick') AND (`08-WACOG LEDGER`.`Finance Authorization`&gt;=#10/1/2016# AND `08-WACOG LEDGER`.`Finance Authorization`&lt;=#9/30/2017#)_x000d__x000a_ORDER BY `08-WACO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8-WACOGqryLedgerApportsCrosstab`.`Transaction Year`, `08-WACOGqryLedgerApportsCrosstab`.`Transaction Type`, `08-WACOGqryLedgerApportsCrosstab`.Number, `08-WACOGqryLedgerApportsCrosstab`.`From`, `08-WACOGqryLedgerApportsCrosstab`.To, `08-WACOGqryLedgerApportsCrosstab`.`Repayment Year`, `08-WACOGqryLedgerApportsCrosstab`.Project8, `08-WACOGqryLedgerApportsCrosstab`.Notes, `08-WACOGqryLedgerApportsCrosstab`.Total, `08-WACOGqryLedgerApportsCrosstab`.CMAQ, `08-WACOGqryLedgerApportsCrosstab`.`CMAQ 2_5`, `08-WACOGqryLedgerApportsCrosstab`.HSIP, `08-WACOGqryLedgerApportsCrosstab`.PL, `08-WACOGqryLedgerApportsCrosstab`.SPR, `08-WACOGqryLedgerApportsCrosstab`.`STP other`, `08-WACOGqryLedgerApportsCrosstab`.`STP over 200K`, `08-WACOGqryLedgerApportsCrosstab`.`TA other`, `08-WACOGqryLedgerApportsCrosstab`.`TA over 200K`_x000d__x000a_FROM `G:\FMS\RESOURCE\ACCESS\010614 PBPF\011614 PBPF front.accdb`.`08-WACOGqryLedgerApportsCrosstab` `08-WACOGqryLedgerApportsCrosstab`_x000d__x000a_WHERE (`08-WACO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8-WACOGqryLedgerOACrosstab`.`Transaction Year`, `08-WACOGqryLedgerOACrosstab`.`Transaction Type`, `08-WACOGqryLedgerOACrosstab`.Number, `08-WACOGqryLedgerOACrosstab`.`From`, `08-WACOGqryLedgerOACrosstab`.To, `08-WACOGqryLedgerOACrosstab`.`Repayment Year`, `08-WACOGqryLedgerOACrosstab`.Project8, `08-WACOGqryLedgerOACrosstab`.Notes, `08-WACOGqryLedgerOACrosstab`.Total, `08-WACOGqryLedgerOACrosstab`.CMAQ, `08-WACOGqryLedgerOACrosstab`.`CMAQ 2_5`, `08-WACOGqryLedgerOACrosstab`.HSIP, `08-WACOGqryLedgerOACrosstab`.PL, `08-WACOGqryLedgerOACrosstab`.SPR, `08-WACOGqryLedgerOACrosstab`.`STP other`, `08-WACOGqryLedgerOACrosstab`.`STP over 200K`, `08-WACOGqryLedgerOACrosstab`.`TA other`, `08-WACOGqryLedgerOACrosstab`.`TA over 200K`_x000d__x000a_FROM `G:\FMS\RESOURCE\ACCESS\010614 PBPF\011614 PBPF front.accdb`.`08-WACOGqryLedgerOACrosstab` `08-WACOGqryLedgerOACrosstab`_x000d__x000a_WHERE (`08-WACO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SIP, `08-WACOG LEDGER`.SPR, `08-WACOG LEDGER`.`STP OTHER`_x000d__x000a_FROM `G:\FMS\RESOURCE\ACCESS\010614 PBPF\011614 PBPF front.accdb`.`08-WACOG LEDGER` `08-WACOG LEDGER`_x000d__x000a_WHERE (`08-WACOG LEDGER`.`ADOT#` Not Like 'Trick') AND (`08-WACOG LEDGER`.`Finance Authorization` Is Null) AND ((`08-WACOG LEDGER`.`PB Expected`&gt;=#10/1/2016# and `PB Expected`&lt;=#9/30/2017#) OR (`08-WACOG LEDGER`.`PB Received`&gt;=#10/1/2016# and `PB Received`&lt;=#9/30/2017#) OR (`08-WACOG LEDGER`.`PF Transmitted`&gt;=#10/1/2016# and `PF Transmitted`&lt;=#9/30/2017#))_x000d__x000a_ORDER BY `08-WACOG LEDGER`.`ADOT#`"/>
  </connection>
</connections>
</file>

<file path=xl/sharedStrings.xml><?xml version="1.0" encoding="utf-8"?>
<sst xmlns="http://schemas.openxmlformats.org/spreadsheetml/2006/main" count="1073" uniqueCount="277">
  <si>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</si>
  <si>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</si>
  <si>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</si>
  <si>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</si>
  <si>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</si>
  <si>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</si>
  <si>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</si>
  <si>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</si>
  <si>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</si>
  <si>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</si>
  <si>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</si>
  <si>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</si>
  <si>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</si>
  <si>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</si>
  <si>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</si>
  <si>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</si>
  <si>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</si>
  <si>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</si>
  <si>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</si>
  <si>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</si>
  <si>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</si>
  <si>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</si>
  <si>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</si>
  <si>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</si>
  <si>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</si>
  <si>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</si>
  <si>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</si>
  <si>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</si>
  <si>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</si>
  <si>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</si>
  <si>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</si>
  <si>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</si>
  <si>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</si>
  <si>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</si>
  <si>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</si>
  <si>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</si>
  <si>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2013</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</si>
  <si>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</si>
  <si>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</si>
  <si>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</si>
  <si>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</si>
  <si>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</si>
  <si>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</si>
  <si>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</si>
  <si>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</si>
  <si>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</si>
  <si>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</si>
  <si>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</si>
  <si>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</si>
  <si>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</si>
  <si>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</si>
  <si>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</si>
  <si>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</si>
  <si>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Transfer Out</t>
  </si>
  <si>
    <t>RTE</t>
  </si>
  <si>
    <t>SEC</t>
  </si>
  <si>
    <t>SEQ</t>
  </si>
  <si>
    <t>PB Expected</t>
  </si>
  <si>
    <t>PB Received</t>
  </si>
  <si>
    <t>PF Transmitted</t>
  </si>
  <si>
    <t>Finance Authorization</t>
  </si>
  <si>
    <t>STP OTHER</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</si>
  <si>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</si>
  <si>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</si>
  <si>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</si>
  <si>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</si>
  <si>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</si>
  <si>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</si>
  <si>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</si>
  <si>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</si>
  <si>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</si>
  <si>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</si>
  <si>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</si>
  <si>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</si>
  <si>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</si>
  <si>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</si>
  <si>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</si>
  <si>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</si>
  <si>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</si>
  <si>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</si>
  <si>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</si>
  <si>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</si>
  <si>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</si>
  <si>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</si>
  <si>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</si>
  <si>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</si>
  <si>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</si>
  <si>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</si>
  <si>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</si>
  <si>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</si>
  <si>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</si>
  <si>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</si>
  <si>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</si>
  <si>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</si>
  <si>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</si>
  <si>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</si>
  <si>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</si>
  <si>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</si>
  <si>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DECLINGING BALANCE OA</t>
  </si>
  <si>
    <t>Loan In</t>
  </si>
  <si>
    <t>Loan Out</t>
  </si>
  <si>
    <t>Repayment In</t>
  </si>
  <si>
    <t>Repayment Out</t>
  </si>
  <si>
    <t>Transfer In</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</si>
  <si>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</si>
  <si>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</si>
  <si>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</si>
  <si>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</si>
  <si>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NACOG</t>
  </si>
  <si>
    <t>From</t>
  </si>
  <si>
    <t>To</t>
  </si>
  <si>
    <t>Project8</t>
  </si>
  <si>
    <t>Notes</t>
  </si>
  <si>
    <t>ADOT</t>
  </si>
  <si>
    <t>2012</t>
  </si>
  <si>
    <t>NACOG005</t>
  </si>
  <si>
    <t>WACOG</t>
  </si>
  <si>
    <t>2015</t>
  </si>
  <si>
    <t>2014</t>
  </si>
  <si>
    <t>Western Arizona Council of Goverments</t>
  </si>
  <si>
    <t>2012 STP loan from WACOG</t>
  </si>
  <si>
    <t>WACOG003</t>
  </si>
  <si>
    <t>MM0 14D-103</t>
  </si>
  <si>
    <t>HSIP loan to ADOT</t>
  </si>
  <si>
    <t>WACOG004</t>
  </si>
  <si>
    <t>HSIP TRANSFER FROM WACAG TO ADOT</t>
  </si>
  <si>
    <t>WACOG001</t>
  </si>
  <si>
    <t>plug -HSIP loan to ADOT</t>
  </si>
  <si>
    <t>plug-HSIP loan repayment from ADOT</t>
  </si>
  <si>
    <t>HSIP loan repayment from ADOT</t>
  </si>
  <si>
    <t>WACOG002</t>
  </si>
  <si>
    <t>2016</t>
  </si>
  <si>
    <t>MMO 14C-103</t>
  </si>
  <si>
    <t>Repay 2012 STP loan to NACOG</t>
  </si>
  <si>
    <t>Loan repayment for 2015 HSIP loan</t>
  </si>
  <si>
    <r>
      <rPr>
        <b/>
        <sz val="11"/>
        <color rgb="FFFF0000"/>
        <rFont val="Arial Unicode MS"/>
        <family val="2"/>
      </rPr>
      <t xml:space="preserve">DRAFT </t>
    </r>
    <r>
      <rPr>
        <sz val="11"/>
        <color theme="1"/>
        <rFont val="Arial Unicode MS"/>
        <family val="2"/>
      </rPr>
      <t>Data as of:</t>
    </r>
  </si>
  <si>
    <t>LHMPO1402</t>
  </si>
  <si>
    <t>LHMPO</t>
  </si>
  <si>
    <t>2019</t>
  </si>
  <si>
    <t>LHMPO LOAN TO WACOG FY 14</t>
  </si>
  <si>
    <t>SEAGO</t>
  </si>
  <si>
    <t>SEAGO LOAN TO WACOG 2014</t>
  </si>
  <si>
    <t>LHMPO1401</t>
  </si>
  <si>
    <t>HSIP TRANSFER FROM LHMPO TO WACOG</t>
  </si>
  <si>
    <t>LHMPO LOAN TO WACOG FY 15</t>
  </si>
  <si>
    <t>DAVIS RD PROJECT</t>
  </si>
  <si>
    <t>WACOG LOAN TO SEAGO FY 15</t>
  </si>
  <si>
    <t>LHMPO LOAN TO WACOG FY 16</t>
  </si>
  <si>
    <t>2017</t>
  </si>
  <si>
    <t>LHMPO LOAN TO WACOG FY 17</t>
  </si>
  <si>
    <t>2018</t>
  </si>
  <si>
    <t>2020</t>
  </si>
  <si>
    <t>LHMPO LOAN TO WACOG FY 18</t>
  </si>
  <si>
    <t>LHMPO LOAN TO WACOG FY 19</t>
  </si>
  <si>
    <t>LHMPO LOAN TO WACOG FY 20</t>
  </si>
  <si>
    <t>SEAGO14-L001</t>
  </si>
  <si>
    <t>WACOG14-L002</t>
  </si>
  <si>
    <t>WACOG STP LOAN TO ADOT 03/31/14</t>
  </si>
  <si>
    <t>WACOG14-L001</t>
  </si>
  <si>
    <t>WACOG14-L003</t>
  </si>
  <si>
    <t>SS994 - OATMAN RD</t>
  </si>
  <si>
    <t>WACOG STP LOAN TO ADOT 04/11/14</t>
  </si>
  <si>
    <t>WACOG14-L004</t>
  </si>
  <si>
    <t>SUNMPO</t>
  </si>
  <si>
    <t>SCMPO SAFTEY PLAN</t>
  </si>
  <si>
    <t>WACOG HSIP LOAN TO SUNPMO</t>
  </si>
  <si>
    <t>WACOG STP LOAN TO ADOT 04/11/14 REPAYMENT</t>
  </si>
  <si>
    <t>WACOG HSIP LOAN TO SUNPMO REPAYMENT</t>
  </si>
  <si>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</si>
  <si>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</si>
  <si>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WACOG14-L005</t>
  </si>
  <si>
    <t>SS994</t>
  </si>
  <si>
    <t>WACOG STP LOAN TO ADOT</t>
  </si>
  <si>
    <t>Lapsing</t>
  </si>
  <si>
    <t>WACOG-LP01</t>
  </si>
  <si>
    <t>WACOG-T001</t>
  </si>
  <si>
    <t>H4511</t>
  </si>
  <si>
    <t>WACOG TRANSFER TO ADOT</t>
  </si>
  <si>
    <t>None</t>
  </si>
  <si>
    <t>WACOG LAPSING FUNDS - FFY14</t>
  </si>
  <si>
    <t>CAG-15L1</t>
  </si>
  <si>
    <t>CAG</t>
  </si>
  <si>
    <t>CAG HSIP Loan to WACOG</t>
  </si>
  <si>
    <t>LHMPO-15L1</t>
  </si>
  <si>
    <t>LHMPO HSIP Loan to WACOG</t>
  </si>
  <si>
    <t>MM0</t>
  </si>
  <si>
    <t>0</t>
  </si>
  <si>
    <t>MOHAVE CO-WACOG</t>
  </si>
  <si>
    <t>SS99401C</t>
  </si>
  <si>
    <t>WACOG15-L001</t>
  </si>
  <si>
    <t>WACOG STSP</t>
  </si>
  <si>
    <t>WACOG HSIP Loan to ADOT</t>
  </si>
  <si>
    <t>WACOG16-L001</t>
  </si>
  <si>
    <t>ADOT HSIP Loan to WACOG</t>
  </si>
  <si>
    <t>2017/18</t>
  </si>
  <si>
    <t>KINGMAN</t>
  </si>
  <si>
    <t>KNG</t>
  </si>
  <si>
    <t>WACOG16-L002</t>
  </si>
  <si>
    <t>ADOT STP Loan to WACOG</t>
  </si>
  <si>
    <t>COLORADO CITY</t>
  </si>
  <si>
    <t>CLC</t>
  </si>
  <si>
    <t>WACOGADOT-16L1</t>
  </si>
  <si>
    <t>WACOG HSIP/STP Loan to ADOT</t>
  </si>
  <si>
    <t>KNG-H51 / KNG 14-200</t>
  </si>
  <si>
    <t>CITY OF KINGMAN SIGN INVENTORY PROJECT</t>
  </si>
  <si>
    <t>208</t>
  </si>
  <si>
    <t>SH62901C</t>
  </si>
  <si>
    <t>KNG-H50</t>
  </si>
  <si>
    <t>CITY OF KINGMAN PROTECTED LEFT TURN</t>
  </si>
  <si>
    <t>209</t>
  </si>
  <si>
    <t>205</t>
  </si>
  <si>
    <t>T009501D</t>
  </si>
  <si>
    <t>Federal Fiscal Year 2017</t>
  </si>
  <si>
    <t>Planned Lapsing - 06/30/17</t>
  </si>
  <si>
    <t>Lapsed - 07/01/17</t>
  </si>
  <si>
    <t>Planned Lapsing - 09/30/17</t>
  </si>
  <si>
    <t>Carry Forward to FFY 18</t>
  </si>
  <si>
    <t>VARIOUS</t>
  </si>
  <si>
    <t>PWG1701P</t>
  </si>
  <si>
    <t>WACOG 2017 WP - SPR</t>
  </si>
  <si>
    <t>WAC</t>
  </si>
  <si>
    <t>S</t>
  </si>
  <si>
    <t>017</t>
  </si>
  <si>
    <t>PWG1801P</t>
  </si>
  <si>
    <t>WACOG 2018 WP - SPR</t>
  </si>
  <si>
    <t>018</t>
  </si>
  <si>
    <t>MMO 17-102D</t>
  </si>
  <si>
    <t>PIERCE FERRY RD - LLOYD ST TO IRONWOOD DR</t>
  </si>
  <si>
    <t>217</t>
  </si>
  <si>
    <t>State FY 17 Approved work program amount</t>
  </si>
  <si>
    <t>State FY 17 amount authorized prior to 09/30/16 or Lapsed FY16 funding</t>
  </si>
  <si>
    <t xml:space="preserve">State FY 17 amount available for authorization 10/01/16 - 06/30/17 </t>
  </si>
  <si>
    <t>State FY 18 amount avaiilable for authorization 07/1/17 - 09/30/17 (request must be submitted by 06/30/17)</t>
  </si>
  <si>
    <t>Total SPR apportionments for Federal Fiscal Year 17 (as shown on ledger)</t>
  </si>
  <si>
    <t>BUL 13-102C</t>
  </si>
  <si>
    <t>BULLHEAD CITY</t>
  </si>
  <si>
    <t>N. OATMAN ROAD, RIVERVIEW DRIVE</t>
  </si>
  <si>
    <t>BUL</t>
  </si>
  <si>
    <t>203</t>
  </si>
  <si>
    <t>SH51701C</t>
  </si>
  <si>
    <t>TOWN OF COLORADO CITY SIGNING &amp; STRIPING UPGRADE</t>
  </si>
  <si>
    <t>204</t>
  </si>
  <si>
    <t>SH51401C</t>
  </si>
  <si>
    <t>CITY OF KINGMAN SIGN REPLACEMENT/REHAB</t>
  </si>
  <si>
    <t>The  OA/Apportionments rate for FFY 17 is 94.9%.  The rate for calculations is 0.949. This rate is subject to change based on additonal congressional action.</t>
  </si>
  <si>
    <t>T009401D</t>
  </si>
  <si>
    <t>CLC 17-101D</t>
  </si>
  <si>
    <t>COLORADO CITY - JOHNSON AVE - CENTRAL ST- AZ AVE. - ADA RAMPS</t>
  </si>
  <si>
    <t>SH59001C</t>
  </si>
  <si>
    <t>MMO14-103 C</t>
  </si>
  <si>
    <t>COUNTY ROUTE 1/GOLDEN SHORES PKWY</t>
  </si>
  <si>
    <t>210</t>
  </si>
  <si>
    <t>KNG 13-108C</t>
  </si>
  <si>
    <t>SH60901X</t>
  </si>
  <si>
    <t>T009403D</t>
  </si>
  <si>
    <t>WACOGADOT-17L1</t>
  </si>
  <si>
    <t>MMO-H52 C</t>
  </si>
  <si>
    <t>QTZ13-105 C</t>
  </si>
  <si>
    <t>CLC 101C</t>
  </si>
  <si>
    <t>WACOG STP Loan to ADOT</t>
  </si>
  <si>
    <t>H861201C</t>
  </si>
  <si>
    <t>SR66 ANDY DEVINE AX &amp; FIRS ST IN KINGMAN</t>
  </si>
  <si>
    <t>AZ1</t>
  </si>
  <si>
    <t>2</t>
  </si>
  <si>
    <t>002</t>
  </si>
  <si>
    <t>RLTAP22P</t>
  </si>
  <si>
    <t>FY17 LTAP - LOCAL TECHNICAL ASSISTANCE PROGRAM</t>
  </si>
  <si>
    <t>094</t>
  </si>
  <si>
    <t>A</t>
  </si>
  <si>
    <t>287</t>
  </si>
  <si>
    <t>SH60903D</t>
  </si>
  <si>
    <t>SH60403D</t>
  </si>
  <si>
    <t>MM014-109D</t>
  </si>
  <si>
    <t>MOHAVE COUNTY VARIOUS LOCATIONS</t>
  </si>
  <si>
    <t>211</t>
  </si>
  <si>
    <t>SH60401C</t>
  </si>
  <si>
    <t>MM014-109C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</si>
</sst>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sz val="10"/>
      <color theme="0"/>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9"/>
      <name val="Arial Unicode MS"/>
      <family val="2"/>
    </font>
    <font>
      <sz val="9"/>
      <color theme="1"/>
      <name val="Arial Unicode MS"/>
      <family val="2"/>
    </font>
    <font>
      <sz val="9"/>
      <name val="Arial Unicode MS"/>
      <family val="2"/>
    </font>
    <font>
      <sz val="9"/>
      <color theme="1"/>
      <name val="Arial Unicode MS"/>
      <family val="2"/>
    </font>
    <font>
      <sz val="9"/>
      <name val="Arial Unicode MS"/>
      <family val="2"/>
    </font>
    <font>
      <sz val="9"/>
      <color theme="1"/>
      <name val="Arial Unicode MS"/>
      <family val="2"/>
    </font>
    <font>
      <sz val="9"/>
      <name val="Arial Unicode MS"/>
      <family val="2"/>
    </font>
    <font>
      <sz val="9"/>
      <color theme="1"/>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ACEAAC"/>
        <bgColor indexed="64"/>
      </patternFill>
    </fill>
    <fill>
      <patternFill patternType="solid">
        <fgColor rgb="FFACEAAC"/>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3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20" fillId="2" borderId="19" xfId="1" applyNumberFormat="1" applyFont="1" applyFill="1" applyBorder="1" applyAlignment="1">
      <alignment horizontal="center" vertical="center" wrapText="1"/>
    </xf>
    <xf numFmtId="0" fontId="16" fillId="0" borderId="0" xfId="0" applyFont="1" applyAlignment="1">
      <alignment horizontal="left" vertical="top" wrapText="1"/>
    </xf>
    <xf numFmtId="49" fontId="14" fillId="0" borderId="0" xfId="1" applyNumberFormat="1" applyFont="1" applyAlignment="1">
      <alignment vertical="top" wrapText="1"/>
    </xf>
    <xf numFmtId="40" fontId="25"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4" fillId="0" borderId="0" xfId="0" applyNumberFormat="1" applyFont="1" applyBorder="1" applyAlignment="1">
      <alignment horizontal="left" vertical="top" wrapText="1"/>
    </xf>
    <xf numFmtId="40" fontId="24"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5" fillId="0" borderId="0" xfId="0" applyNumberFormat="1" applyFont="1" applyBorder="1" applyAlignment="1">
      <alignment vertical="top" wrapText="1"/>
    </xf>
    <xf numFmtId="40" fontId="19" fillId="0" borderId="0" xfId="0" applyNumberFormat="1" applyFont="1" applyBorder="1" applyAlignment="1">
      <alignment horizontal="center" vertical="center" wrapText="1"/>
    </xf>
    <xf numFmtId="40" fontId="18" fillId="0" borderId="0" xfId="0" applyNumberFormat="1" applyFont="1" applyBorder="1" applyAlignment="1">
      <alignment horizontal="center" vertical="center" wrapText="1"/>
    </xf>
    <xf numFmtId="40" fontId="30" fillId="0" borderId="0" xfId="0" applyNumberFormat="1" applyFont="1" applyBorder="1" applyAlignment="1">
      <alignment horizontal="center" vertical="center" wrapText="1"/>
    </xf>
    <xf numFmtId="40" fontId="28" fillId="0" borderId="1" xfId="0" applyNumberFormat="1" applyFont="1" applyBorder="1" applyAlignment="1">
      <alignment horizontal="left" vertical="top" wrapText="1"/>
    </xf>
    <xf numFmtId="40" fontId="28" fillId="0" borderId="1" xfId="0" applyNumberFormat="1" applyFont="1" applyBorder="1" applyAlignment="1">
      <alignment horizontal="center" vertical="top"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4" fontId="21" fillId="0" borderId="0" xfId="0" applyNumberFormat="1" applyFont="1" applyBorder="1" applyAlignment="1">
      <alignment horizontal="center" vertical="center" wrapText="1"/>
    </xf>
    <xf numFmtId="14" fontId="27" fillId="0" borderId="5" xfId="0" applyNumberFormat="1" applyFont="1" applyBorder="1" applyAlignment="1">
      <alignment horizontal="right" vertical="top" wrapText="1"/>
    </xf>
    <xf numFmtId="14" fontId="19" fillId="0" borderId="0" xfId="0" applyNumberFormat="1" applyFont="1" applyBorder="1" applyAlignment="1">
      <alignment horizontal="center" vertical="center" wrapText="1"/>
    </xf>
    <xf numFmtId="14" fontId="27" fillId="0" borderId="1" xfId="0" applyNumberFormat="1" applyFont="1" applyBorder="1" applyAlignment="1">
      <alignment horizontal="right" vertical="top" wrapText="1"/>
    </xf>
    <xf numFmtId="14" fontId="18" fillId="0" borderId="0" xfId="0" applyNumberFormat="1" applyFont="1" applyBorder="1" applyAlignment="1">
      <alignment horizontal="center" vertical="center" wrapText="1"/>
    </xf>
    <xf numFmtId="14" fontId="24" fillId="0" borderId="0" xfId="0" applyNumberFormat="1" applyFont="1" applyBorder="1" applyAlignment="1">
      <alignment horizontal="right" vertical="top" wrapText="1"/>
    </xf>
    <xf numFmtId="0" fontId="25" fillId="0" borderId="0" xfId="0" applyFont="1" applyBorder="1" applyAlignment="1">
      <alignment vertical="top" wrapText="1"/>
    </xf>
    <xf numFmtId="0" fontId="25" fillId="0" borderId="0" xfId="0" applyFont="1" applyBorder="1" applyAlignment="1">
      <alignment horizontal="center" vertical="center" wrapText="1"/>
    </xf>
    <xf numFmtId="14" fontId="25" fillId="0" borderId="0" xfId="0" applyNumberFormat="1" applyFont="1" applyBorder="1" applyAlignment="1">
      <alignment horizontal="center" vertical="center" wrapText="1"/>
    </xf>
    <xf numFmtId="14" fontId="25" fillId="0" borderId="0" xfId="0" applyNumberFormat="1" applyFont="1" applyBorder="1"/>
    <xf numFmtId="40" fontId="25" fillId="0" borderId="0" xfId="0" applyNumberFormat="1" applyFont="1" applyBorder="1"/>
    <xf numFmtId="14" fontId="21" fillId="0" borderId="8" xfId="0" applyNumberFormat="1" applyFont="1" applyBorder="1" applyAlignment="1">
      <alignment horizontal="center" vertical="center" wrapText="1"/>
    </xf>
    <xf numFmtId="14" fontId="21" fillId="0" borderId="5" xfId="0" applyNumberFormat="1" applyFont="1" applyBorder="1" applyAlignment="1">
      <alignment horizontal="center" vertical="center" wrapText="1"/>
    </xf>
    <xf numFmtId="40" fontId="21" fillId="0" borderId="5" xfId="0" applyNumberFormat="1" applyFont="1" applyBorder="1" applyAlignment="1">
      <alignment horizontal="center" vertical="center" wrapText="1"/>
    </xf>
    <xf numFmtId="40" fontId="27" fillId="0" borderId="5" xfId="0" applyNumberFormat="1" applyFont="1" applyBorder="1" applyAlignment="1">
      <alignment horizontal="center" vertical="center" wrapText="1"/>
    </xf>
    <xf numFmtId="14" fontId="21" fillId="0" borderId="0" xfId="0" applyNumberFormat="1" applyFont="1" applyBorder="1" applyAlignment="1">
      <alignment vertical="top" wrapText="1"/>
    </xf>
    <xf numFmtId="40" fontId="21" fillId="0" borderId="0" xfId="0" applyNumberFormat="1" applyFont="1" applyBorder="1" applyAlignment="1">
      <alignment vertical="top" wrapText="1"/>
    </xf>
    <xf numFmtId="0" fontId="20" fillId="0" borderId="0" xfId="0" applyFont="1" applyAlignment="1">
      <alignment horizontal="left" vertical="top" wrapText="1"/>
    </xf>
    <xf numFmtId="0" fontId="29" fillId="0" borderId="0" xfId="0" applyFont="1" applyAlignment="1">
      <alignment horizontal="left" vertical="top"/>
    </xf>
    <xf numFmtId="14" fontId="24" fillId="0" borderId="0" xfId="0" applyNumberFormat="1" applyFont="1" applyBorder="1" applyAlignment="1">
      <alignment vertical="top" wrapText="1"/>
    </xf>
    <xf numFmtId="40" fontId="20" fillId="2" borderId="9" xfId="0" applyNumberFormat="1" applyFont="1" applyFill="1" applyBorder="1" applyAlignment="1">
      <alignment horizontal="center" vertical="center" wrapText="1"/>
    </xf>
    <xf numFmtId="40" fontId="28" fillId="0" borderId="10" xfId="0" applyNumberFormat="1" applyFont="1" applyBorder="1" applyAlignment="1">
      <alignment horizontal="left" vertical="top" wrapText="1"/>
    </xf>
    <xf numFmtId="40" fontId="20" fillId="0" borderId="8" xfId="0" applyNumberFormat="1" applyFont="1" applyBorder="1" applyAlignment="1">
      <alignment horizontal="center" vertical="center" wrapText="1"/>
    </xf>
    <xf numFmtId="40" fontId="20" fillId="0" borderId="5" xfId="0" applyNumberFormat="1" applyFont="1" applyBorder="1" applyAlignment="1">
      <alignment horizontal="center" vertical="center" wrapText="1"/>
    </xf>
    <xf numFmtId="14" fontId="20" fillId="0" borderId="5" xfId="0" applyNumberFormat="1" applyFont="1" applyBorder="1" applyAlignment="1">
      <alignment horizontal="center" vertical="center" wrapText="1"/>
    </xf>
    <xf numFmtId="0" fontId="31" fillId="0" borderId="0" xfId="0" applyFont="1" applyAlignment="1">
      <alignment horizontal="center" vertical="center" wrapText="1"/>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43" fontId="13" fillId="0" borderId="11" xfId="3" applyFont="1" applyBorder="1"/>
    <xf numFmtId="43" fontId="13" fillId="0" borderId="6" xfId="3" applyFont="1" applyBorder="1"/>
    <xf numFmtId="43" fontId="13" fillId="0" borderId="7"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40" fontId="17" fillId="0" borderId="0" xfId="0" applyNumberFormat="1" applyFont="1" applyBorder="1" applyAlignment="1">
      <alignment vertical="top" wrapText="1"/>
    </xf>
    <xf numFmtId="14" fontId="24" fillId="2" borderId="1" xfId="0" applyNumberFormat="1" applyFont="1" applyFill="1" applyBorder="1" applyAlignment="1">
      <alignment horizontal="center" vertical="center" wrapText="1"/>
    </xf>
    <xf numFmtId="14" fontId="20" fillId="0" borderId="9" xfId="1" applyNumberFormat="1" applyFont="1" applyFill="1" applyBorder="1" applyAlignment="1">
      <alignment horizontal="center" vertical="center" wrapText="1"/>
    </xf>
    <xf numFmtId="40" fontId="20" fillId="0" borderId="17" xfId="1" applyNumberFormat="1" applyFont="1" applyFill="1" applyBorder="1" applyAlignment="1">
      <alignment horizontal="center" vertical="center" wrapText="1"/>
    </xf>
    <xf numFmtId="40" fontId="20" fillId="0" borderId="5" xfId="1" applyNumberFormat="1" applyFont="1" applyFill="1" applyBorder="1" applyAlignment="1">
      <alignment horizontal="center" vertical="center" wrapText="1"/>
    </xf>
    <xf numFmtId="40" fontId="20" fillId="0" borderId="18" xfId="1" applyNumberFormat="1" applyFont="1" applyFill="1" applyBorder="1" applyAlignment="1">
      <alignment horizontal="center" vertical="center" wrapText="1"/>
    </xf>
    <xf numFmtId="43" fontId="13" fillId="0" borderId="0" xfId="3" applyFont="1" applyBorder="1"/>
    <xf numFmtId="43" fontId="0" fillId="0" borderId="8" xfId="3" applyFont="1" applyBorder="1"/>
    <xf numFmtId="43" fontId="0" fillId="0" borderId="5" xfId="3" applyFont="1" applyBorder="1"/>
    <xf numFmtId="43" fontId="0" fillId="0" borderId="9" xfId="3" applyFont="1" applyBorder="1"/>
    <xf numFmtId="40" fontId="30" fillId="5" borderId="6" xfId="0" applyNumberFormat="1" applyFont="1" applyFill="1" applyBorder="1" applyAlignment="1">
      <alignment horizontal="center" vertical="center" wrapText="1"/>
    </xf>
    <xf numFmtId="14" fontId="21" fillId="0" borderId="2" xfId="0" applyNumberFormat="1" applyFont="1" applyBorder="1" applyAlignment="1">
      <alignment horizontal="left" vertical="top" wrapText="1"/>
    </xf>
    <xf numFmtId="14" fontId="21" fillId="0" borderId="2" xfId="0" applyNumberFormat="1" applyFont="1" applyFill="1" applyBorder="1" applyAlignment="1">
      <alignment horizontal="left" vertical="top" wrapText="1"/>
    </xf>
    <xf numFmtId="14" fontId="27" fillId="0" borderId="2" xfId="0" applyNumberFormat="1" applyFont="1" applyBorder="1" applyAlignment="1">
      <alignment horizontal="left" vertical="top" wrapText="1"/>
    </xf>
    <xf numFmtId="43" fontId="32" fillId="0" borderId="0" xfId="3" applyFont="1"/>
    <xf numFmtId="14" fontId="21" fillId="0" borderId="1" xfId="0" applyNumberFormat="1" applyFont="1" applyBorder="1" applyAlignment="1">
      <alignment horizontal="right"/>
    </xf>
    <xf numFmtId="40" fontId="28" fillId="0" borderId="0" xfId="0" applyNumberFormat="1" applyFont="1" applyBorder="1" applyAlignment="1">
      <alignment horizontal="right" vertical="top" wrapText="1"/>
    </xf>
    <xf numFmtId="0" fontId="21" fillId="0" borderId="0" xfId="0" applyFont="1" applyAlignment="1">
      <alignment vertical="top" wrapText="1"/>
    </xf>
    <xf numFmtId="40" fontId="21" fillId="0" borderId="0" xfId="0" applyNumberFormat="1" applyFont="1" applyBorder="1" applyAlignment="1">
      <alignment horizontal="right" vertical="top" wrapText="1"/>
    </xf>
    <xf numFmtId="40" fontId="20" fillId="0" borderId="0" xfId="0" applyNumberFormat="1" applyFont="1" applyFill="1" applyBorder="1" applyAlignment="1">
      <alignment horizontal="center" vertical="center" wrapText="1"/>
    </xf>
    <xf numFmtId="14" fontId="23" fillId="0" borderId="0" xfId="0" applyNumberFormat="1" applyFont="1" applyBorder="1" applyAlignment="1">
      <alignment horizontal="right" vertical="top"/>
    </xf>
    <xf numFmtId="14" fontId="27" fillId="0" borderId="0" xfId="0" applyNumberFormat="1" applyFont="1" applyBorder="1" applyAlignment="1">
      <alignment horizontal="right" vertical="top"/>
    </xf>
    <xf numFmtId="40" fontId="21" fillId="0" borderId="1" xfId="0" applyNumberFormat="1" applyFont="1" applyFill="1" applyBorder="1" applyAlignment="1">
      <alignment horizontal="right" vertical="top"/>
    </xf>
    <xf numFmtId="40" fontId="28" fillId="0" borderId="6" xfId="0" applyNumberFormat="1" applyFont="1" applyFill="1" applyBorder="1" applyAlignment="1">
      <alignment horizontal="right" vertical="center"/>
    </xf>
    <xf numFmtId="40" fontId="21" fillId="4" borderId="1" xfId="0" applyNumberFormat="1" applyFont="1" applyFill="1" applyBorder="1" applyAlignment="1">
      <alignment horizontal="right" vertical="top"/>
    </xf>
    <xf numFmtId="0" fontId="14" fillId="0" borderId="0" xfId="0" applyFont="1" applyAlignment="1">
      <alignment vertical="center"/>
    </xf>
    <xf numFmtId="43" fontId="33" fillId="0" borderId="0" xfId="3" applyFont="1"/>
    <xf numFmtId="14" fontId="28" fillId="2" borderId="9" xfId="0" applyNumberFormat="1" applyFont="1" applyFill="1" applyBorder="1" applyAlignment="1">
      <alignment horizontal="center" vertical="top" wrapText="1"/>
    </xf>
    <xf numFmtId="40" fontId="28" fillId="0" borderId="1" xfId="3" applyNumberFormat="1" applyFont="1" applyBorder="1" applyAlignment="1">
      <alignment horizontal="right" vertical="top"/>
    </xf>
    <xf numFmtId="43" fontId="28" fillId="0" borderId="2" xfId="3" applyFont="1" applyBorder="1" applyAlignment="1">
      <alignment horizontal="right" vertical="top"/>
    </xf>
    <xf numFmtId="40" fontId="21" fillId="0" borderId="3" xfId="0" applyNumberFormat="1" applyFont="1" applyFill="1" applyBorder="1" applyAlignment="1">
      <alignment horizontal="right" vertical="top"/>
    </xf>
    <xf numFmtId="40" fontId="21" fillId="0" borderId="4" xfId="0" applyNumberFormat="1" applyFont="1" applyFill="1" applyBorder="1" applyAlignment="1">
      <alignment horizontal="right" vertical="top"/>
    </xf>
    <xf numFmtId="40" fontId="21" fillId="0" borderId="20" xfId="0" applyNumberFormat="1" applyFont="1" applyFill="1" applyBorder="1" applyAlignment="1">
      <alignment vertical="top"/>
    </xf>
    <xf numFmtId="40" fontId="21" fillId="0" borderId="1" xfId="0" applyNumberFormat="1" applyFont="1" applyFill="1" applyBorder="1" applyAlignment="1">
      <alignment vertical="top"/>
    </xf>
    <xf numFmtId="40" fontId="21" fillId="0" borderId="10" xfId="0" applyNumberFormat="1" applyFont="1" applyFill="1" applyBorder="1" applyAlignment="1">
      <alignment vertical="top"/>
    </xf>
    <xf numFmtId="40" fontId="21" fillId="0" borderId="3" xfId="0" applyNumberFormat="1" applyFont="1" applyFill="1" applyBorder="1" applyAlignment="1">
      <alignment vertical="top"/>
    </xf>
    <xf numFmtId="40" fontId="27" fillId="0" borderId="3" xfId="0" applyNumberFormat="1" applyFont="1" applyFill="1" applyBorder="1" applyAlignment="1">
      <alignment horizontal="right" vertical="top"/>
    </xf>
    <xf numFmtId="40" fontId="27" fillId="0" borderId="1" xfId="0" applyNumberFormat="1" applyFont="1" applyFill="1" applyBorder="1" applyAlignment="1">
      <alignment horizontal="right" vertical="top"/>
    </xf>
    <xf numFmtId="40" fontId="27" fillId="0" borderId="4" xfId="0" applyNumberFormat="1" applyFont="1" applyFill="1" applyBorder="1" applyAlignment="1">
      <alignment horizontal="right" vertical="top"/>
    </xf>
    <xf numFmtId="40" fontId="21" fillId="0" borderId="1" xfId="0" applyNumberFormat="1" applyFont="1" applyBorder="1" applyAlignment="1">
      <alignment vertical="top"/>
    </xf>
    <xf numFmtId="40" fontId="21" fillId="0" borderId="5" xfId="0" applyNumberFormat="1" applyFont="1" applyBorder="1" applyAlignment="1">
      <alignment horizontal="right" vertical="top"/>
    </xf>
    <xf numFmtId="0" fontId="21" fillId="0" borderId="0" xfId="0" applyFont="1" applyBorder="1" applyAlignment="1">
      <alignment vertical="top"/>
    </xf>
    <xf numFmtId="40" fontId="21" fillId="0" borderId="0" xfId="0" applyNumberFormat="1" applyFont="1" applyBorder="1" applyAlignment="1">
      <alignment vertical="top"/>
    </xf>
    <xf numFmtId="40" fontId="21" fillId="0" borderId="6" xfId="0" applyNumberFormat="1" applyFont="1" applyBorder="1" applyAlignment="1">
      <alignment horizontal="right" vertical="top"/>
    </xf>
    <xf numFmtId="40" fontId="21" fillId="0" borderId="3" xfId="0" applyNumberFormat="1" applyFont="1" applyBorder="1" applyAlignment="1">
      <alignment horizontal="right" vertical="top"/>
    </xf>
    <xf numFmtId="40" fontId="21" fillId="0" borderId="1" xfId="0" applyNumberFormat="1" applyFont="1" applyBorder="1" applyAlignment="1">
      <alignment horizontal="right" vertical="top"/>
    </xf>
    <xf numFmtId="14" fontId="21" fillId="0" borderId="1" xfId="0" applyNumberFormat="1" applyFont="1" applyBorder="1" applyAlignment="1">
      <alignment horizontal="right" vertical="top"/>
    </xf>
    <xf numFmtId="40" fontId="21" fillId="0" borderId="1" xfId="3" applyNumberFormat="1" applyFont="1" applyFill="1" applyBorder="1" applyAlignment="1">
      <alignment horizontal="right" vertical="top"/>
    </xf>
    <xf numFmtId="43" fontId="34" fillId="0" borderId="0" xfId="3" applyFont="1"/>
    <xf numFmtId="40" fontId="35" fillId="0" borderId="1" xfId="0" applyNumberFormat="1" applyFont="1" applyBorder="1" applyAlignment="1">
      <alignment horizontal="left" vertical="top" wrapText="1"/>
    </xf>
    <xf numFmtId="14" fontId="36" fillId="0" borderId="6" xfId="0" applyNumberFormat="1" applyFont="1" applyBorder="1" applyAlignment="1">
      <alignment vertical="top" wrapText="1"/>
    </xf>
    <xf numFmtId="40" fontId="36" fillId="0" borderId="6" xfId="0" applyNumberFormat="1" applyFont="1" applyBorder="1" applyAlignment="1">
      <alignment vertical="top"/>
    </xf>
    <xf numFmtId="40" fontId="36" fillId="0" borderId="6" xfId="3" applyNumberFormat="1" applyFont="1" applyBorder="1" applyAlignment="1">
      <alignment vertical="top"/>
    </xf>
    <xf numFmtId="43" fontId="36" fillId="0" borderId="7" xfId="0" applyNumberFormat="1" applyFont="1" applyBorder="1" applyAlignment="1">
      <alignment vertical="top"/>
    </xf>
    <xf numFmtId="40" fontId="28" fillId="0" borderId="6" xfId="0" applyNumberFormat="1" applyFont="1" applyBorder="1" applyAlignment="1">
      <alignment horizontal="left" vertical="top" wrapText="1"/>
    </xf>
    <xf numFmtId="0" fontId="0" fillId="0" borderId="0" xfId="0" applyAlignment="1">
      <alignment horizontal="left" vertical="top" wrapText="1"/>
    </xf>
    <xf numFmtId="40" fontId="28" fillId="0" borderId="11" xfId="0" applyNumberFormat="1" applyFont="1" applyBorder="1" applyAlignment="1">
      <alignment horizontal="left" vertical="top" wrapText="1"/>
    </xf>
    <xf numFmtId="40" fontId="37" fillId="0" borderId="10" xfId="0" applyNumberFormat="1" applyFont="1" applyBorder="1" applyAlignment="1">
      <alignment horizontal="left" vertical="top" wrapText="1"/>
    </xf>
    <xf numFmtId="40" fontId="37" fillId="0" borderId="11" xfId="0" applyNumberFormat="1" applyFont="1" applyBorder="1" applyAlignment="1">
      <alignment horizontal="left" vertical="top" wrapText="1"/>
    </xf>
    <xf numFmtId="40" fontId="37" fillId="0" borderId="1" xfId="0" applyNumberFormat="1" applyFont="1" applyBorder="1" applyAlignment="1">
      <alignment horizontal="left" vertical="top" wrapText="1"/>
    </xf>
    <xf numFmtId="40" fontId="37" fillId="0" borderId="6" xfId="0" applyNumberFormat="1" applyFont="1" applyBorder="1" applyAlignment="1">
      <alignment horizontal="left" vertical="top" wrapText="1"/>
    </xf>
    <xf numFmtId="40" fontId="37" fillId="0" borderId="1" xfId="0" applyNumberFormat="1" applyFont="1" applyBorder="1" applyAlignment="1">
      <alignment horizontal="center" vertical="top" wrapText="1"/>
    </xf>
    <xf numFmtId="40" fontId="37" fillId="0" borderId="6" xfId="0" applyNumberFormat="1" applyFont="1" applyBorder="1" applyAlignment="1">
      <alignment horizontal="center" vertical="top" wrapText="1"/>
    </xf>
    <xf numFmtId="14" fontId="38" fillId="0" borderId="1" xfId="0" applyNumberFormat="1" applyFont="1" applyBorder="1" applyAlignment="1">
      <alignment horizontal="right"/>
    </xf>
    <xf numFmtId="14" fontId="38" fillId="0" borderId="6" xfId="0" applyNumberFormat="1" applyFont="1" applyBorder="1" applyAlignment="1">
      <alignment horizontal="right"/>
    </xf>
    <xf numFmtId="14" fontId="38" fillId="0" borderId="1" xfId="0" applyNumberFormat="1" applyFont="1" applyBorder="1" applyAlignment="1">
      <alignment horizontal="right" vertical="top"/>
    </xf>
    <xf numFmtId="14" fontId="38" fillId="0" borderId="6" xfId="0" applyNumberFormat="1" applyFont="1" applyBorder="1" applyAlignment="1">
      <alignment horizontal="right" vertical="top"/>
    </xf>
    <xf numFmtId="40" fontId="37" fillId="0" borderId="1" xfId="3" applyNumberFormat="1" applyFont="1" applyBorder="1" applyAlignment="1">
      <alignment horizontal="right" vertical="top"/>
    </xf>
    <xf numFmtId="40" fontId="37" fillId="0" borderId="6" xfId="3" applyNumberFormat="1" applyFont="1" applyBorder="1" applyAlignment="1">
      <alignment horizontal="right" vertical="top"/>
    </xf>
    <xf numFmtId="43" fontId="37" fillId="0" borderId="2" xfId="3" applyFont="1" applyBorder="1" applyAlignment="1">
      <alignment horizontal="right" vertical="top"/>
    </xf>
    <xf numFmtId="40" fontId="39" fillId="0" borderId="10" xfId="0" applyNumberFormat="1" applyFont="1" applyBorder="1" applyAlignment="1">
      <alignment horizontal="left" vertical="top" wrapText="1"/>
    </xf>
    <xf numFmtId="40" fontId="39" fillId="0" borderId="11" xfId="0" applyNumberFormat="1" applyFont="1" applyBorder="1" applyAlignment="1">
      <alignment horizontal="left" vertical="top" wrapText="1"/>
    </xf>
    <xf numFmtId="40" fontId="39" fillId="0" borderId="1" xfId="0" applyNumberFormat="1" applyFont="1" applyBorder="1" applyAlignment="1">
      <alignment horizontal="left" vertical="top" wrapText="1"/>
    </xf>
    <xf numFmtId="40" fontId="39" fillId="0" borderId="6" xfId="0" applyNumberFormat="1" applyFont="1" applyBorder="1" applyAlignment="1">
      <alignment horizontal="left" vertical="top" wrapText="1"/>
    </xf>
    <xf numFmtId="40" fontId="39" fillId="0" borderId="1" xfId="0" applyNumberFormat="1" applyFont="1" applyBorder="1" applyAlignment="1">
      <alignment horizontal="center" vertical="top" wrapText="1"/>
    </xf>
    <xf numFmtId="40" fontId="39" fillId="0" borderId="6" xfId="0" applyNumberFormat="1" applyFont="1" applyBorder="1" applyAlignment="1">
      <alignment horizontal="center" vertical="top" wrapText="1"/>
    </xf>
    <xf numFmtId="14" fontId="40" fillId="0" borderId="1" xfId="0" applyNumberFormat="1" applyFont="1" applyBorder="1" applyAlignment="1">
      <alignment horizontal="right"/>
    </xf>
    <xf numFmtId="14" fontId="40" fillId="0" borderId="6" xfId="0" applyNumberFormat="1" applyFont="1" applyBorder="1" applyAlignment="1">
      <alignment horizontal="right"/>
    </xf>
    <xf numFmtId="14" fontId="40" fillId="0" borderId="1" xfId="0" applyNumberFormat="1" applyFont="1" applyBorder="1" applyAlignment="1">
      <alignment horizontal="right" vertical="top"/>
    </xf>
    <xf numFmtId="14" fontId="40" fillId="0" borderId="6" xfId="0" applyNumberFormat="1" applyFont="1" applyBorder="1" applyAlignment="1">
      <alignment horizontal="right" vertical="top"/>
    </xf>
    <xf numFmtId="40" fontId="39" fillId="0" borderId="1" xfId="3" applyNumberFormat="1" applyFont="1" applyBorder="1" applyAlignment="1">
      <alignment horizontal="right" vertical="top"/>
    </xf>
    <xf numFmtId="40" fontId="39" fillId="0" borderId="6" xfId="3" applyNumberFormat="1" applyFont="1" applyBorder="1" applyAlignment="1">
      <alignment horizontal="right" vertical="top"/>
    </xf>
    <xf numFmtId="40" fontId="39" fillId="0" borderId="22" xfId="0" applyNumberFormat="1" applyFont="1" applyBorder="1" applyAlignment="1">
      <alignment horizontal="left" vertical="top" wrapText="1"/>
    </xf>
    <xf numFmtId="40" fontId="39" fillId="0" borderId="21" xfId="0" applyNumberFormat="1" applyFont="1" applyBorder="1" applyAlignment="1">
      <alignment horizontal="left" vertical="top" wrapText="1"/>
    </xf>
    <xf numFmtId="40" fontId="39" fillId="0" borderId="21" xfId="0" applyNumberFormat="1" applyFont="1" applyBorder="1" applyAlignment="1">
      <alignment horizontal="center" vertical="top" wrapText="1"/>
    </xf>
    <xf numFmtId="14" fontId="40" fillId="0" borderId="21" xfId="0" applyNumberFormat="1" applyFont="1" applyBorder="1" applyAlignment="1">
      <alignment horizontal="right"/>
    </xf>
    <xf numFmtId="14" fontId="40" fillId="0" borderId="21" xfId="0" applyNumberFormat="1" applyFont="1" applyBorder="1" applyAlignment="1">
      <alignment horizontal="right" vertical="top"/>
    </xf>
    <xf numFmtId="40" fontId="39" fillId="0" borderId="21" xfId="3" applyNumberFormat="1" applyFont="1" applyBorder="1" applyAlignment="1">
      <alignment horizontal="right" vertical="top"/>
    </xf>
    <xf numFmtId="40" fontId="28" fillId="0" borderId="6" xfId="0" applyNumberFormat="1" applyFont="1" applyBorder="1" applyAlignment="1">
      <alignment horizontal="center" vertical="top" wrapText="1"/>
    </xf>
    <xf numFmtId="14" fontId="21" fillId="0" borderId="6" xfId="0" applyNumberFormat="1" applyFont="1" applyBorder="1" applyAlignment="1">
      <alignment horizontal="right"/>
    </xf>
    <xf numFmtId="14" fontId="21" fillId="0" borderId="6" xfId="0" applyNumberFormat="1" applyFont="1" applyBorder="1" applyAlignment="1">
      <alignment horizontal="right" vertical="top"/>
    </xf>
    <xf numFmtId="40" fontId="28" fillId="0" borderId="6" xfId="3" applyNumberFormat="1" applyFont="1" applyBorder="1" applyAlignment="1">
      <alignment horizontal="right" vertical="top"/>
    </xf>
    <xf numFmtId="40" fontId="28" fillId="0" borderId="22" xfId="0" applyNumberFormat="1" applyFont="1" applyBorder="1" applyAlignment="1">
      <alignment horizontal="left" vertical="top" wrapText="1"/>
    </xf>
    <xf numFmtId="40" fontId="28" fillId="0" borderId="21" xfId="0" applyNumberFormat="1" applyFont="1" applyBorder="1" applyAlignment="1">
      <alignment horizontal="left" vertical="top" wrapText="1"/>
    </xf>
    <xf numFmtId="40" fontId="28" fillId="0" borderId="21" xfId="0" applyNumberFormat="1" applyFont="1" applyBorder="1" applyAlignment="1">
      <alignment horizontal="center" vertical="top" wrapText="1"/>
    </xf>
    <xf numFmtId="14" fontId="21" fillId="0" borderId="21" xfId="0" applyNumberFormat="1" applyFont="1" applyBorder="1" applyAlignment="1">
      <alignment horizontal="right"/>
    </xf>
    <xf numFmtId="14" fontId="21" fillId="0" borderId="21" xfId="0" applyNumberFormat="1" applyFont="1" applyBorder="1" applyAlignment="1">
      <alignment horizontal="right" vertical="top"/>
    </xf>
    <xf numFmtId="40" fontId="28" fillId="0" borderId="21" xfId="3" applyNumberFormat="1" applyFont="1" applyBorder="1" applyAlignment="1">
      <alignment horizontal="right" vertical="top"/>
    </xf>
    <xf numFmtId="40" fontId="41" fillId="0" borderId="11" xfId="0" applyNumberFormat="1" applyFont="1" applyBorder="1" applyAlignment="1">
      <alignment horizontal="left" vertical="top" wrapText="1"/>
    </xf>
    <xf numFmtId="40" fontId="41" fillId="0" borderId="22" xfId="0" applyNumberFormat="1" applyFont="1" applyBorder="1" applyAlignment="1">
      <alignment horizontal="left" vertical="top" wrapText="1"/>
    </xf>
    <xf numFmtId="40" fontId="41" fillId="0" borderId="6" xfId="0" applyNumberFormat="1" applyFont="1" applyBorder="1" applyAlignment="1">
      <alignment horizontal="left" vertical="top" wrapText="1"/>
    </xf>
    <xf numFmtId="40" fontId="41" fillId="0" borderId="21" xfId="0" applyNumberFormat="1" applyFont="1" applyBorder="1" applyAlignment="1">
      <alignment horizontal="left" vertical="top" wrapText="1"/>
    </xf>
    <xf numFmtId="40" fontId="41" fillId="0" borderId="6" xfId="0" applyNumberFormat="1" applyFont="1" applyBorder="1" applyAlignment="1">
      <alignment horizontal="center" vertical="top" wrapText="1"/>
    </xf>
    <xf numFmtId="40" fontId="41" fillId="0" borderId="21" xfId="0" applyNumberFormat="1" applyFont="1" applyBorder="1" applyAlignment="1">
      <alignment horizontal="center" vertical="top" wrapText="1"/>
    </xf>
    <xf numFmtId="14" fontId="42" fillId="0" borderId="6" xfId="0" applyNumberFormat="1" applyFont="1" applyBorder="1" applyAlignment="1">
      <alignment horizontal="right"/>
    </xf>
    <xf numFmtId="14" fontId="42" fillId="0" borderId="21" xfId="0" applyNumberFormat="1" applyFont="1" applyBorder="1" applyAlignment="1">
      <alignment horizontal="right"/>
    </xf>
    <xf numFmtId="14" fontId="42" fillId="0" borderId="6" xfId="0" applyNumberFormat="1" applyFont="1" applyBorder="1" applyAlignment="1">
      <alignment horizontal="right" vertical="top"/>
    </xf>
    <xf numFmtId="14" fontId="42" fillId="0" borderId="21" xfId="0" applyNumberFormat="1" applyFont="1" applyBorder="1" applyAlignment="1">
      <alignment horizontal="right" vertical="top"/>
    </xf>
    <xf numFmtId="40" fontId="41" fillId="0" borderId="6" xfId="3" applyNumberFormat="1" applyFont="1" applyBorder="1" applyAlignment="1">
      <alignment horizontal="right" vertical="top"/>
    </xf>
    <xf numFmtId="40" fontId="41" fillId="0" borderId="21" xfId="3" applyNumberFormat="1" applyFont="1" applyBorder="1" applyAlignment="1">
      <alignment horizontal="right" vertical="top"/>
    </xf>
    <xf numFmtId="40" fontId="24" fillId="0" borderId="12" xfId="0" applyNumberFormat="1" applyFont="1" applyBorder="1" applyAlignment="1">
      <alignment horizontal="center" vertical="top" wrapText="1"/>
    </xf>
    <xf numFmtId="0" fontId="5" fillId="0" borderId="0" xfId="0" applyFont="1" applyAlignment="1">
      <alignment horizontal="left" vertical="top" wrapText="1"/>
    </xf>
    <xf numFmtId="0" fontId="29" fillId="0" borderId="0" xfId="0" applyFont="1" applyAlignment="1">
      <alignment horizontal="left" vertical="top" wrapText="1"/>
    </xf>
    <xf numFmtId="40" fontId="30" fillId="4" borderId="13" xfId="1" applyNumberFormat="1" applyFont="1" applyFill="1" applyBorder="1" applyAlignment="1">
      <alignment horizontal="center" vertical="center" wrapText="1"/>
    </xf>
    <xf numFmtId="40" fontId="30" fillId="4" borderId="14" xfId="1" applyNumberFormat="1" applyFont="1" applyFill="1" applyBorder="1" applyAlignment="1">
      <alignment horizontal="center" vertical="center" wrapText="1"/>
    </xf>
    <xf numFmtId="40" fontId="30" fillId="4" borderId="15" xfId="1" applyNumberFormat="1" applyFont="1" applyFill="1" applyBorder="1" applyAlignment="1">
      <alignment horizontal="center" vertical="center" wrapText="1"/>
    </xf>
    <xf numFmtId="0" fontId="14" fillId="0" borderId="0" xfId="0" applyFont="1" applyAlignment="1">
      <alignment horizontal="left" vertical="top" wrapText="1"/>
    </xf>
    <xf numFmtId="40" fontId="16" fillId="0" borderId="16"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6"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0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color rgb="FFFF0000"/>
        <name val="Arial Unicode MS"/>
        <scheme val="none"/>
      </font>
      <numFmt numFmtId="35" formatCode="_(* #,##0.00_);_(* \(#,##0.00\);_(* &quot;-&quot;??_);_(@_)"/>
      <alignment horizontal="general" vertical="top" textRotation="0" wrapText="0" indent="0" justifyLastLine="0" shrinkToFit="0" readingOrder="0"/>
      <border diagonalUp="0" diagonalDown="0">
        <left style="thin">
          <color indexed="64"/>
        </left>
        <right/>
        <top style="thin">
          <color indexed="64"/>
        </top>
        <bottom/>
        <vertical/>
        <horizontal/>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bottom style="thin">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auto="1"/>
        <name val="Arial Unicode MS"/>
        <scheme val="none"/>
      </font>
      <numFmt numFmtId="35" formatCode="_(* #,##0.00_);_(* \(#,##0.00\);_(* &quot;-&quot;??_);_(@_)"/>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right style="thin">
          <color indexed="64"/>
        </right>
        <top/>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name val="Arial Unicode MS"/>
        <scheme val="none"/>
      </font>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164"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ACEAA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6"/>
      <tableStyleElement type="firstRowStripe" dxfId="105"/>
    </tableStyle>
    <tableStyle name="Table Style 2" pivot="0" count="1">
      <tableStyleElement type="firstRowStripe" dxfId="104"/>
    </tableStyle>
    <tableStyle name="Table Style 3" pivot="0" count="1">
      <tableStyleElement type="firstRowStripe" dxfId="103"/>
    </tableStyle>
    <tableStyle name="Table Style 4" pivot="0" count="3">
      <tableStyleElement type="wholeTable" dxfId="102"/>
      <tableStyleElement type="headerRow" dxfId="101"/>
      <tableStyleElement type="firstRowStripe" dxfId="100"/>
    </tableStyle>
  </tableStyles>
  <colors>
    <mruColors>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3.xml><?xml version="1.0" encoding="utf-8"?>
<queryTable xmlns="http://schemas.openxmlformats.org/spreadsheetml/2006/main" name="Query from MS Access Database"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R12" totalsRowShown="0" headerRowDxfId="99" dataDxfId="97" headerRowBorderDxfId="98" tableBorderDxfId="96" totalsRowBorderDxfId="95" headerRowCellStyle="Currency">
  <autoFilter ref="M3:R12"/>
  <tableColumns count="6">
    <tableColumn id="1" name="Description" dataDxfId="94"/>
    <tableColumn id="4" name="HSIP/3" dataDxfId="93"/>
    <tableColumn id="5" name="SPR /4" dataDxfId="92"/>
    <tableColumn id="6" name="STP other" dataDxfId="91"/>
    <tableColumn id="7" name="Total" dataDxfId="90"/>
    <tableColumn id="8" name="FFY OBLIGATION AUTHORITY /2" dataDxfId="89"/>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5:R33" tableType="queryTable" totalsRowShown="0" headerRowDxfId="88" dataDxfId="86" headerRowBorderDxfId="87" tableBorderDxfId="85" totalsRowBorderDxfId="84">
  <autoFilter ref="A15:R33"/>
  <tableColumns count="18">
    <tableColumn id="1" uniqueName="1" name="ADOT#" queryTableFieldId="1" dataDxfId="83"/>
    <tableColumn id="2" uniqueName="2" name="TIP#" queryTableFieldId="2" dataDxfId="82"/>
    <tableColumn id="3" uniqueName="3" name="Sponsor" queryTableFieldId="3" dataDxfId="81"/>
    <tableColumn id="4" uniqueName="4" name="Action/15" queryTableFieldId="4" dataDxfId="80"/>
    <tableColumn id="5" uniqueName="5" name="Location" queryTableFieldId="5" dataDxfId="79"/>
    <tableColumn id="6" uniqueName="6" name="RTE" queryTableFieldId="6" dataDxfId="78"/>
    <tableColumn id="7" uniqueName="7" name="SEC" queryTableFieldId="7" dataDxfId="77"/>
    <tableColumn id="8" uniqueName="8" name="SEQ" queryTableFieldId="8" dataDxfId="76"/>
    <tableColumn id="16" uniqueName="16" name="FED #" queryTableFieldId="16" dataDxfId="75">
      <calculatedColumnFormula>CONCATENATE(Table_Query_from_MS_Access_Database_1[RTE],Table_Query_from_MS_Access_Database_1[SEC],Table_Query_from_MS_Access_Database_1[SEQ])</calculatedColumnFormula>
    </tableColumn>
    <tableColumn id="9" uniqueName="9" name="PB Expected" queryTableFieldId="9" dataDxfId="74"/>
    <tableColumn id="10" uniqueName="10" name="PB Received" queryTableFieldId="10" dataDxfId="73"/>
    <tableColumn id="11" uniqueName="11" name="PF Transmitted" queryTableFieldId="11" dataDxfId="72"/>
    <tableColumn id="12" uniqueName="12" name="Finance Authorization" queryTableFieldId="12" dataDxfId="71"/>
    <tableColumn id="13" uniqueName="13" name="HSIP" queryTableFieldId="13" dataDxfId="70" dataCellStyle="Comma"/>
    <tableColumn id="14" uniqueName="14" name="SPR" queryTableFieldId="14" dataDxfId="69" dataCellStyle="Comma"/>
    <tableColumn id="15" uniqueName="15" name="STP OTHER" queryTableFieldId="15" dataDxfId="68" dataCellStyle="Comma"/>
    <tableColumn id="17" uniqueName="17" name="TOTAL OF  AMOUNT" queryTableFieldId="17" dataDxfId="67" dataCellStyle="Comma">
      <calculatedColumnFormula>+Table_Query_from_MS_Access_Database_1[[#This Row],[HSIP]]+Table_Query_from_MS_Access_Database_1[[#This Row],[SPR]]+Table_Query_from_MS_Access_Database_1[[#This Row],[STP OTHER]]</calculatedColumnFormula>
    </tableColumn>
    <tableColumn id="18" uniqueName="18" name="DECLINGING BALANCE OA" queryTableFieldId="18" dataDxfId="66" dataCellStyle="Comma">
      <calculatedColumnFormula>R12-Table_Query_from_MS_Access_Database_1[TOTAL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6" name="Table_Query_from_MS_Access_Database_2" displayName="Table_Query_from_MS_Access_Database_2" ref="A38:R39" tableType="queryTable" totalsRowShown="0" headerRowDxfId="65" dataDxfId="63" headerRowBorderDxfId="64" tableBorderDxfId="62" totalsRowBorderDxfId="61">
  <autoFilter ref="A38:R39"/>
  <sortState ref="A39:R39">
    <sortCondition ref="J21:J30"/>
  </sortState>
  <tableColumns count="18">
    <tableColumn id="1" uniqueName="1" name="ADOT#" queryTableFieldId="1" dataDxfId="60"/>
    <tableColumn id="2" uniqueName="2" name="TIP#" queryTableFieldId="2" dataDxfId="59"/>
    <tableColumn id="3" uniqueName="3" name="Sponsor" queryTableFieldId="3" dataDxfId="58"/>
    <tableColumn id="4" uniqueName="4" name="Action/15" queryTableFieldId="4" dataDxfId="57"/>
    <tableColumn id="5" uniqueName="5" name="Location" queryTableFieldId="5" dataDxfId="56"/>
    <tableColumn id="6" uniqueName="6" name="RTE" queryTableFieldId="6" dataDxfId="55"/>
    <tableColumn id="7" uniqueName="7" name="SEC" queryTableFieldId="7" dataDxfId="54"/>
    <tableColumn id="8" uniqueName="8" name="SEQ" queryTableFieldId="8" dataDxfId="53"/>
    <tableColumn id="16" uniqueName="16" name="FED #" queryTableFieldId="16" dataDxfId="52">
      <calculatedColumnFormula>CONCATENATE(Table_Query_from_MS_Access_Database_2[RTE],Table_Query_from_MS_Access_Database_2[SEC],Table_Query_from_MS_Access_Database_2[SEQ])</calculatedColumnFormula>
    </tableColumn>
    <tableColumn id="9" uniqueName="9" name="PB Expected" queryTableFieldId="9" dataDxfId="51"/>
    <tableColumn id="10" uniqueName="10" name="PB Received" queryTableFieldId="10" dataDxfId="50"/>
    <tableColumn id="11" uniqueName="11" name="PF Transmitted" queryTableFieldId="11" dataDxfId="49"/>
    <tableColumn id="12" uniqueName="12" name="Finance Authorization" queryTableFieldId="12" dataDxfId="48"/>
    <tableColumn id="13" uniqueName="13" name="HSIP" queryTableFieldId="13" dataDxfId="47"/>
    <tableColumn id="14" uniqueName="14" name="SPR" queryTableFieldId="14" dataDxfId="46"/>
    <tableColumn id="15" uniqueName="15" name="STP OTHER" queryTableFieldId="15" dataDxfId="45"/>
    <tableColumn id="17" uniqueName="17" name="TOTAL OF AMOUNT" queryTableFieldId="17" dataDxfId="44" dataCellStyle="Comma">
      <calculatedColumnFormula>SUM(Table_Query_from_MS_Access_Database_2[[HSIP]:[STP OTHER]])</calculatedColumnFormula>
    </tableColumn>
    <tableColumn id="18" uniqueName="18" name="EXPECTED DECLINING BALANCE OA" queryTableFieldId="18" dataDxfId="43">
      <calculatedColumnFormula>R33-Table_Query_from_MS_Access_Database_2[TOTAL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62" tableType="queryTable" totalsRowShown="0" headerRowDxfId="42" headerRowBorderDxfId="41" tableBorderDxfId="40" totalsRowBorderDxfId="39" headerRowCellStyle="Comma" dataCellStyle="Comma">
  <autoFilter ref="A11:R62"/>
  <tableColumns count="18">
    <tableColumn id="1" uniqueName="1" name="Transaction Year" queryTableFieldId="1" dataDxfId="38" dataCellStyle="Comma"/>
    <tableColumn id="2" uniqueName="2" name="Transaction Type" queryTableFieldId="2" dataDxfId="37" dataCellStyle="Comma"/>
    <tableColumn id="3" uniqueName="3" name="Number" queryTableFieldId="3" dataDxfId="36" dataCellStyle="Comma"/>
    <tableColumn id="6" uniqueName="6" name="Repayment Year" queryTableFieldId="6" dataDxfId="35" dataCellStyle="Comma"/>
    <tableColumn id="9" uniqueName="9" name="Total" queryTableFieldId="9" dataDxfId="34" dataCellStyle="Comma"/>
    <tableColumn id="10" uniqueName="10" name="CMAQ" queryTableFieldId="10" dataDxfId="33" dataCellStyle="Comma"/>
    <tableColumn id="11" uniqueName="11" name="CMAQ 2_5" queryTableFieldId="11" dataDxfId="32" dataCellStyle="Comma"/>
    <tableColumn id="12" uniqueName="12" name="HSIP" queryTableFieldId="12" dataDxfId="31" dataCellStyle="Comma"/>
    <tableColumn id="13" uniqueName="13" name="PL" queryTableFieldId="13" dataDxfId="30" dataCellStyle="Comma"/>
    <tableColumn id="14" uniqueName="14" name="SPR" queryTableFieldId="14" dataDxfId="29" dataCellStyle="Comma"/>
    <tableColumn id="15" uniqueName="15" name="STP other" queryTableFieldId="15" dataDxfId="28" dataCellStyle="Comma"/>
    <tableColumn id="16" uniqueName="16" name="STP over 200K" queryTableFieldId="16" dataDxfId="27" dataCellStyle="Comma"/>
    <tableColumn id="17" uniqueName="17" name="TA other" queryTableFieldId="17" dataDxfId="26" dataCellStyle="Comma"/>
    <tableColumn id="18" uniqueName="18" name="TA over 200K" queryTableFieldId="18" dataDxfId="25" dataCellStyle="Comma"/>
    <tableColumn id="4" uniqueName="4" name="From" queryTableFieldId="19" dataDxfId="24" dataCellStyle="Comma"/>
    <tableColumn id="5" uniqueName="5" name="To" queryTableFieldId="20" dataDxfId="23" dataCellStyle="Comma"/>
    <tableColumn id="7" uniqueName="7" name="Project8" queryTableFieldId="21" dataDxfId="22" dataCellStyle="Comma"/>
    <tableColumn id="8" uniqueName="8" name="Notes" queryTableFieldId="22" dataDxfId="2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8:R120" tableType="queryTable" totalsRowShown="0" headerRowDxfId="20" dataDxfId="19" tableBorderDxfId="18" headerRowCellStyle="Comma" dataCellStyle="Comma">
  <autoFilter ref="A68:R120"/>
  <tableColumns count="18">
    <tableColumn id="1" uniqueName="1" name="Transaction Year" queryTableFieldId="1" dataDxfId="17" dataCellStyle="Comma"/>
    <tableColumn id="2" uniqueName="2" name="Transaction Type" queryTableFieldId="2" dataDxfId="16" dataCellStyle="Comma"/>
    <tableColumn id="3" uniqueName="3" name="Number" queryTableFieldId="3" dataDxfId="15" dataCellStyle="Comma"/>
    <tableColumn id="6" uniqueName="6" name="Repayment Year" queryTableFieldId="6" dataDxfId="14" dataCellStyle="Comma"/>
    <tableColumn id="9" uniqueName="9" name="Total" queryTableFieldId="9" dataDxfId="13" dataCellStyle="Comma"/>
    <tableColumn id="10" uniqueName="10" name="CMAQ" queryTableFieldId="10" dataDxfId="12" dataCellStyle="Comma"/>
    <tableColumn id="11" uniqueName="11" name="CMAQ 2_5" queryTableFieldId="11" dataDxfId="11" dataCellStyle="Comma"/>
    <tableColumn id="12" uniqueName="12" name="HSIP" queryTableFieldId="12" dataDxfId="10" dataCellStyle="Comma"/>
    <tableColumn id="13" uniqueName="13" name="PL" queryTableFieldId="13" dataDxfId="9" dataCellStyle="Comma"/>
    <tableColumn id="14" uniqueName="14" name="SPR" queryTableFieldId="14" dataDxfId="8" dataCellStyle="Comma"/>
    <tableColumn id="15" uniqueName="15" name="STP other" queryTableFieldId="15" dataDxfId="7" dataCellStyle="Comma"/>
    <tableColumn id="16" uniqueName="16" name="STP over 200K" queryTableFieldId="16" dataDxfId="6" dataCellStyle="Comma"/>
    <tableColumn id="17" uniqueName="17" name="TA other" queryTableFieldId="17" dataDxfId="5" dataCellStyle="Comma"/>
    <tableColumn id="18" uniqueName="18" name="TA over 200K" queryTableFieldId="18" dataDxfId="4" dataCellStyle="Comma"/>
    <tableColumn id="43" uniqueName="43" name="From" queryTableFieldId="23" dataDxfId="3" dataCellStyle="Comma"/>
    <tableColumn id="44" uniqueName="44" name="To" queryTableFieldId="24" dataDxfId="2" dataCellStyle="Comma"/>
    <tableColumn id="45" uniqueName="45" name="Project8" queryTableFieldId="25" dataDxfId="1" dataCellStyle="Comma"/>
    <tableColumn id="46" uniqueName="46" name="Notes" queryTableFieldId="26"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53"/>
  <sheetViews>
    <sheetView tabSelected="1" zoomScale="90" zoomScaleNormal="90" zoomScaleSheetLayoutView="100" workbookViewId="0">
      <selection sqref="A1:F1"/>
    </sheetView>
  </sheetViews>
  <sheetFormatPr defaultColWidth="32" defaultRowHeight="15.6" x14ac:dyDescent="0.3"/>
  <cols>
    <col min="1" max="1" width="12.6640625" style="32" customWidth="1"/>
    <col min="2" max="4" width="15.6640625" style="32" customWidth="1"/>
    <col min="5" max="5" width="40.6640625" style="32" customWidth="1"/>
    <col min="6" max="7" width="6.33203125" style="32" customWidth="1"/>
    <col min="8" max="8" width="6.5546875" style="32" customWidth="1"/>
    <col min="9" max="9" width="10.88671875" style="32" customWidth="1"/>
    <col min="10" max="12" width="15.6640625" style="33" customWidth="1"/>
    <col min="13" max="13" width="23.6640625" style="33" customWidth="1"/>
    <col min="14" max="17" width="14.6640625" style="35" customWidth="1"/>
    <col min="18" max="18" width="18.6640625" style="32" customWidth="1"/>
    <col min="19" max="19" width="3.5546875" style="32" bestFit="1" customWidth="1"/>
    <col min="20" max="16384" width="32" style="32"/>
  </cols>
  <sheetData>
    <row r="1" spans="1:19" ht="24" thickBot="1" x14ac:dyDescent="0.35">
      <c r="A1" s="205" t="s">
        <v>119</v>
      </c>
      <c r="B1" s="205"/>
      <c r="C1" s="205"/>
      <c r="D1" s="205"/>
      <c r="E1" s="205"/>
      <c r="F1" s="205"/>
      <c r="K1" s="34"/>
      <c r="M1" s="54"/>
      <c r="N1" s="211" t="s">
        <v>90</v>
      </c>
      <c r="O1" s="211"/>
      <c r="P1" s="211"/>
      <c r="Q1" s="211"/>
      <c r="R1" s="211"/>
      <c r="S1" s="211"/>
    </row>
    <row r="2" spans="1:19" ht="16.2" thickBot="1" x14ac:dyDescent="0.35">
      <c r="M2" s="54"/>
      <c r="N2" s="94"/>
      <c r="O2" s="207" t="s">
        <v>12</v>
      </c>
      <c r="P2" s="208"/>
      <c r="Q2" s="208"/>
      <c r="R2" s="209"/>
      <c r="S2" s="55"/>
    </row>
    <row r="3" spans="1:19" ht="26.4" x14ac:dyDescent="0.3">
      <c r="A3" s="212" t="s">
        <v>93</v>
      </c>
      <c r="B3" s="212"/>
      <c r="C3" s="212"/>
      <c r="D3" s="212"/>
      <c r="E3" s="37"/>
      <c r="F3" s="37"/>
      <c r="G3" s="37"/>
      <c r="M3" s="96" t="s">
        <v>11</v>
      </c>
      <c r="N3" s="97" t="s">
        <v>71</v>
      </c>
      <c r="O3" s="98" t="s">
        <v>65</v>
      </c>
      <c r="P3" s="98" t="s">
        <v>6</v>
      </c>
      <c r="Q3" s="99" t="s">
        <v>10</v>
      </c>
      <c r="R3" s="38" t="s">
        <v>15</v>
      </c>
      <c r="S3" s="36"/>
    </row>
    <row r="4" spans="1:19" ht="26.4" x14ac:dyDescent="0.3">
      <c r="A4" s="210" t="s">
        <v>212</v>
      </c>
      <c r="B4" s="210"/>
      <c r="C4" s="210"/>
      <c r="D4" s="210"/>
      <c r="E4" s="39"/>
      <c r="F4" s="39"/>
      <c r="G4" s="39"/>
      <c r="M4" s="105" t="s">
        <v>169</v>
      </c>
      <c r="N4" s="138">
        <v>0</v>
      </c>
      <c r="O4" s="139">
        <v>0</v>
      </c>
      <c r="P4" s="116">
        <v>0</v>
      </c>
      <c r="Q4" s="125">
        <f t="shared" ref="Q4:Q12" si="0">SUM(N4:P4)</f>
        <v>0</v>
      </c>
      <c r="R4" s="138">
        <v>0</v>
      </c>
      <c r="S4" s="36"/>
    </row>
    <row r="5" spans="1:19" ht="26.4" x14ac:dyDescent="0.3">
      <c r="A5" s="119" t="s">
        <v>135</v>
      </c>
      <c r="C5" s="93">
        <v>43008</v>
      </c>
      <c r="M5" s="106" t="s">
        <v>168</v>
      </c>
      <c r="N5" s="124">
        <v>519767</v>
      </c>
      <c r="O5" s="116">
        <f>Notes!D13+12500</f>
        <v>137500</v>
      </c>
      <c r="P5" s="116">
        <f>522552+437733</f>
        <v>960285</v>
      </c>
      <c r="Q5" s="125">
        <f t="shared" si="0"/>
        <v>1617552</v>
      </c>
      <c r="R5" s="124">
        <f>ROUND(Table1[[#This Row],[Total]]*0.949,0)</f>
        <v>1535057</v>
      </c>
      <c r="S5" s="40" t="s">
        <v>73</v>
      </c>
    </row>
    <row r="6" spans="1:19" x14ac:dyDescent="0.3">
      <c r="M6" s="106" t="s">
        <v>81</v>
      </c>
      <c r="N6" s="126">
        <f>SUMIFS(Table_Query_from_MS_Access_Database[[#All],[HSIP]],Table_Query_from_MS_Access_Database[[#All],[Transaction Year]],"2017",Table_Query_from_MS_Access_Database[[#All],[Transaction Type]],"loan in")</f>
        <v>0</v>
      </c>
      <c r="O6" s="127">
        <f>SUMIFS(Table_Query_from_MS_Access_Database[[#All],[SPR]],Table_Query_from_MS_Access_Database[[#All],[Transaction Year]],"2017",Table_Query_from_MS_Access_Database[[#All],[Transaction Type]],"loan in")</f>
        <v>0</v>
      </c>
      <c r="P6" s="128">
        <f>SUMIFS(Table_Query_from_MS_Access_Database[[#All],[STP other]],Table_Query_from_MS_Access_Database[[#All],[Transaction Year]],"2017",Table_Query_from_MS_Access_Database[[#All],[Transaction Type]],"loan in")</f>
        <v>0</v>
      </c>
      <c r="Q6" s="125">
        <f t="shared" si="0"/>
        <v>0</v>
      </c>
      <c r="R6" s="129">
        <f>SUMIFS(Table_Query_from_MS_Access_Database_16[[#All],[Total]],Table_Query_from_MS_Access_Database_16[[#All],[Transaction Year]],"2017",Table_Query_from_MS_Access_Database_16[[#All],[Transaction Type]],"Loan In")</f>
        <v>0</v>
      </c>
      <c r="S6" s="36"/>
    </row>
    <row r="7" spans="1:19" x14ac:dyDescent="0.3">
      <c r="A7" s="42"/>
      <c r="M7" s="106" t="s">
        <v>82</v>
      </c>
      <c r="N7" s="126">
        <f>SUMIFS(Table_Query_from_MS_Access_Database[[#All],[HSIP]],Table_Query_from_MS_Access_Database[[#All],[Transaction Year]],"2017",Table_Query_from_MS_Access_Database[[#All],[Transaction Type]],"loan Out")</f>
        <v>-315000</v>
      </c>
      <c r="O7" s="127">
        <f>SUMIFS(Table_Query_from_MS_Access_Database[[#All],[SPR]],Table_Query_from_MS_Access_Database[[#All],[Transaction Year]],"2017",Table_Query_from_MS_Access_Database[[#All],[Transaction Type]],"loan Out")</f>
        <v>0</v>
      </c>
      <c r="P7" s="128">
        <f>SUMIFS(Table_Query_from_MS_Access_Database[[#All],[STP other]],Table_Query_from_MS_Access_Database[[#All],[Transaction Year]],"2017",Table_Query_from_MS_Access_Database[[#All],[Transaction Type]],"loan Out")</f>
        <v>-547160</v>
      </c>
      <c r="Q7" s="125">
        <f t="shared" si="0"/>
        <v>-862160</v>
      </c>
      <c r="R7" s="129">
        <f>SUMIFS(Table_Query_from_MS_Access_Database_16[[#All],[Total]],Table_Query_from_MS_Access_Database_16[[#All],[Transaction Year]],"2017",Table_Query_from_MS_Access_Database_16[[#All],[Transaction Type]],"Loan Out")</f>
        <v>-862160</v>
      </c>
      <c r="S7" s="36"/>
    </row>
    <row r="8" spans="1:19" ht="16.5" x14ac:dyDescent="0.25">
      <c r="M8" s="105" t="s">
        <v>83</v>
      </c>
      <c r="N8" s="126">
        <f>SUMIFS(Table_Query_from_MS_Access_Database[[#All],[HSIP]],Table_Query_from_MS_Access_Database[[#All],[Transaction Year]],"2017",Table_Query_from_MS_Access_Database[[#All],[Transaction Type]],"repayment in")</f>
        <v>0</v>
      </c>
      <c r="O8" s="127">
        <f>SUMIFS(Table_Query_from_MS_Access_Database[[#All],[SPR]],Table_Query_from_MS_Access_Database[[#All],[Transaction Year]],"2017",Table_Query_from_MS_Access_Database[[#All],[Transaction Type]],"repayment in")</f>
        <v>0</v>
      </c>
      <c r="P8" s="128">
        <f>SUMIFS(Table_Query_from_MS_Access_Database[[#All],[STP other]],Table_Query_from_MS_Access_Database[[#All],[Transaction Year]],"2017",Table_Query_from_MS_Access_Database[[#All],[Transaction Type]],"repayment in")</f>
        <v>0</v>
      </c>
      <c r="Q8" s="125">
        <f t="shared" si="0"/>
        <v>0</v>
      </c>
      <c r="R8" s="129">
        <f>SUMIFS(Table_Query_from_MS_Access_Database_16[[#All],[Total]],Table_Query_from_MS_Access_Database_16[[#All],[Transaction Year]],"2017",Table_Query_from_MS_Access_Database_16[[#All],[Transaction Type]],"repayment In")</f>
        <v>0</v>
      </c>
      <c r="S8" s="36"/>
    </row>
    <row r="9" spans="1:19" x14ac:dyDescent="0.3">
      <c r="A9" s="210" t="s">
        <v>106</v>
      </c>
      <c r="B9" s="210"/>
      <c r="C9" s="210"/>
      <c r="D9" s="210"/>
      <c r="E9" s="210"/>
      <c r="F9" s="210"/>
      <c r="G9" s="210"/>
      <c r="H9" s="210"/>
      <c r="I9" s="210"/>
      <c r="J9" s="210"/>
      <c r="K9" s="210"/>
      <c r="L9" s="210"/>
      <c r="M9" s="106" t="s">
        <v>84</v>
      </c>
      <c r="N9" s="126">
        <f>SUMIFS(Table_Query_from_MS_Access_Database[[#All],[HSIP]],Table_Query_from_MS_Access_Database[[#All],[Transaction Year]],"2017",Table_Query_from_MS_Access_Database[[#All],[Transaction Type]],"repayment Out")</f>
        <v>0</v>
      </c>
      <c r="O9" s="127">
        <f>SUMIFS(Table_Query_from_MS_Access_Database[[#All],[SPR]],Table_Query_from_MS_Access_Database[[#All],[Transaction Year]],"2017",Table_Query_from_MS_Access_Database[[#All],[Transaction Type]],"repayment Out")</f>
        <v>0</v>
      </c>
      <c r="P9" s="128">
        <f>SUMIFS(Table_Query_from_MS_Access_Database[[#All],[STP other]],Table_Query_from_MS_Access_Database[[#All],[Transaction Year]],"2017",Table_Query_from_MS_Access_Database[[#All],[Transaction Type]],"repayment Out")</f>
        <v>-538671</v>
      </c>
      <c r="Q9" s="125">
        <f t="shared" si="0"/>
        <v>-538671</v>
      </c>
      <c r="R9" s="129">
        <f>SUMIFS(Table_Query_from_MS_Access_Database_16[[#All],[Total]],Table_Query_from_MS_Access_Database_16[[#All],[Transaction Year]],"2017",Table_Query_from_MS_Access_Database_16[[#All],[Transaction Type]],"Repayment Out")</f>
        <v>-517844</v>
      </c>
      <c r="S9" s="36"/>
    </row>
    <row r="10" spans="1:19" x14ac:dyDescent="0.3">
      <c r="M10" s="106" t="s">
        <v>85</v>
      </c>
      <c r="N10" s="126">
        <f>SUMIFS(Table_Query_from_MS_Access_Database[[#All],[HSIP]],Table_Query_from_MS_Access_Database[[#All],[Transaction Year]],"2017",Table_Query_from_MS_Access_Database[[#All],[Transaction Type]],"Transfer in")</f>
        <v>0</v>
      </c>
      <c r="O10" s="127">
        <f>SUMIFS(Table_Query_from_MS_Access_Database[[#All],[SPR]],Table_Query_from_MS_Access_Database[[#All],[Transaction Year]],"2017",Table_Query_from_MS_Access_Database[[#All],[Transaction Type]],"Transfer in")</f>
        <v>0</v>
      </c>
      <c r="P10" s="128">
        <f>SUMIFS(Table_Query_from_MS_Access_Database[[#All],[STP other]],Table_Query_from_MS_Access_Database[[#All],[Transaction Year]],"2017",Table_Query_from_MS_Access_Database[[#All],[Transaction Type]],"Transfer in")</f>
        <v>302770</v>
      </c>
      <c r="Q10" s="125">
        <f t="shared" si="0"/>
        <v>302770</v>
      </c>
      <c r="R10" s="129">
        <f>SUMIFS(Table_Query_from_MS_Access_Database_16[[#All],[Total]],Table_Query_from_MS_Access_Database_16[[#All],[Transaction Year]],"2017",Table_Query_from_MS_Access_Database_16[[#All],[Transaction Type]],"Transfer In")</f>
        <v>289145</v>
      </c>
    </row>
    <row r="11" spans="1:19" x14ac:dyDescent="0.3">
      <c r="F11" s="43"/>
      <c r="G11" s="43"/>
      <c r="M11" s="106" t="s">
        <v>86</v>
      </c>
      <c r="N11" s="126">
        <f>SUMIFS(Table_Query_from_MS_Access_Database[[#All],[HSIP]],Table_Query_from_MS_Access_Database[[#All],[Transaction Year]],"2017",Table_Query_from_MS_Access_Database[[#All],[Transaction Type]],"Transfer Out")</f>
        <v>0</v>
      </c>
      <c r="O11" s="127">
        <f>SUMIFS(Table_Query_from_MS_Access_Database[[#All],[SPR]],Table_Query_from_MS_Access_Database[[#All],[Transaction Year]],"2017",Table_Query_from_MS_Access_Database[[#All],[Transaction Type]],"Transfer Out")</f>
        <v>0</v>
      </c>
      <c r="P11" s="128">
        <f>SUMIFS(Table_Query_from_MS_Access_Database[[#All],[STP other]],Table_Query_from_MS_Access_Database[[#All],[Transaction Year]],"2017",Table_Query_from_MS_Access_Database[[#All],[Transaction Type]],"Transfer Out")</f>
        <v>0</v>
      </c>
      <c r="Q11" s="125">
        <f t="shared" si="0"/>
        <v>0</v>
      </c>
      <c r="R11" s="129">
        <f>SUMIFS(Table_Query_from_MS_Access_Database_16[[#All],[Total]],Table_Query_from_MS_Access_Database_16[[#All],[Transaction Year]],"2017",Table_Query_from_MS_Access_Database_16[[#All],[Transaction Type]],"Transfer Out")</f>
        <v>0</v>
      </c>
      <c r="S11" s="41"/>
    </row>
    <row r="12" spans="1:19" ht="26.4" x14ac:dyDescent="0.3">
      <c r="M12" s="107" t="s">
        <v>107</v>
      </c>
      <c r="N12" s="130">
        <f>SUM(N4:N11)</f>
        <v>204767</v>
      </c>
      <c r="O12" s="131">
        <f>SUM(O4:O11)</f>
        <v>137500</v>
      </c>
      <c r="P12" s="131">
        <f>SUM(P4:P11)</f>
        <v>177224</v>
      </c>
      <c r="Q12" s="132">
        <f t="shared" si="0"/>
        <v>519491</v>
      </c>
      <c r="R12" s="130">
        <f>SUM(R4:R11)</f>
        <v>444198</v>
      </c>
      <c r="S12" s="41"/>
    </row>
    <row r="13" spans="1:19" x14ac:dyDescent="0.3">
      <c r="N13" s="44"/>
      <c r="O13" s="45"/>
      <c r="P13" s="45"/>
      <c r="Q13" s="45"/>
      <c r="R13" s="45"/>
      <c r="S13" s="45"/>
    </row>
    <row r="14" spans="1:19" ht="16.95" x14ac:dyDescent="0.3">
      <c r="A14" s="206" t="s">
        <v>72</v>
      </c>
      <c r="B14" s="206"/>
      <c r="C14" s="206"/>
      <c r="D14" s="206"/>
      <c r="J14" s="213" t="s">
        <v>74</v>
      </c>
      <c r="K14" s="214"/>
      <c r="L14" s="214"/>
      <c r="M14" s="215"/>
      <c r="N14" s="46"/>
      <c r="R14" s="47"/>
      <c r="S14" s="47"/>
    </row>
    <row r="15" spans="1:19" s="83" customFormat="1" ht="26.4" x14ac:dyDescent="0.3">
      <c r="A15" s="80" t="s">
        <v>1</v>
      </c>
      <c r="B15" s="81" t="s">
        <v>0</v>
      </c>
      <c r="C15" s="81" t="s">
        <v>3</v>
      </c>
      <c r="D15" s="81" t="s">
        <v>96</v>
      </c>
      <c r="E15" s="81" t="s">
        <v>2</v>
      </c>
      <c r="F15" s="81" t="s">
        <v>54</v>
      </c>
      <c r="G15" s="81" t="s">
        <v>55</v>
      </c>
      <c r="H15" s="81" t="s">
        <v>56</v>
      </c>
      <c r="I15" s="81" t="s">
        <v>62</v>
      </c>
      <c r="J15" s="82" t="s">
        <v>57</v>
      </c>
      <c r="K15" s="82" t="s">
        <v>58</v>
      </c>
      <c r="L15" s="82" t="s">
        <v>59</v>
      </c>
      <c r="M15" s="82" t="s">
        <v>60</v>
      </c>
      <c r="N15" s="81" t="s">
        <v>4</v>
      </c>
      <c r="O15" s="81" t="s">
        <v>5</v>
      </c>
      <c r="P15" s="81" t="s">
        <v>61</v>
      </c>
      <c r="Q15" s="81" t="s">
        <v>97</v>
      </c>
      <c r="R15" s="78" t="s">
        <v>98</v>
      </c>
      <c r="S15" s="50"/>
    </row>
    <row r="16" spans="1:19" s="111" customFormat="1" ht="13.2" x14ac:dyDescent="0.3">
      <c r="A16" s="79" t="s">
        <v>218</v>
      </c>
      <c r="B16" s="51"/>
      <c r="C16" s="51" t="s">
        <v>116</v>
      </c>
      <c r="D16" s="51" t="s">
        <v>8</v>
      </c>
      <c r="E16" s="51" t="s">
        <v>219</v>
      </c>
      <c r="F16" s="51" t="s">
        <v>220</v>
      </c>
      <c r="G16" s="52" t="s">
        <v>221</v>
      </c>
      <c r="H16" s="52" t="s">
        <v>222</v>
      </c>
      <c r="I16" s="52" t="str">
        <f>CONCATENATE(Table_Query_from_MS_Access_Database_1[RTE],Table_Query_from_MS_Access_Database_1[SEC],Table_Query_from_MS_Access_Database_1[SEQ])</f>
        <v>WACS017</v>
      </c>
      <c r="J16" s="109">
        <v>42644</v>
      </c>
      <c r="K16" s="140">
        <v>42650</v>
      </c>
      <c r="L16" s="140">
        <v>42661</v>
      </c>
      <c r="M16" s="140">
        <v>42663</v>
      </c>
      <c r="N16" s="122"/>
      <c r="O16" s="122">
        <v>93750</v>
      </c>
      <c r="P16" s="122"/>
      <c r="Q16" s="122">
        <f>+Table_Query_from_MS_Access_Database_1[[#This Row],[HSIP]]+Table_Query_from_MS_Access_Database_1[[#This Row],[SPR]]+Table_Query_from_MS_Access_Database_1[[#This Row],[STP OTHER]]</f>
        <v>93750</v>
      </c>
      <c r="R16" s="123">
        <f>R12-Table_Query_from_MS_Access_Database_1[TOTAL OF  AMOUNT]</f>
        <v>350448</v>
      </c>
      <c r="S16" s="110"/>
    </row>
    <row r="17" spans="1:19" s="56" customFormat="1" ht="26.4" x14ac:dyDescent="0.3">
      <c r="A17" s="151" t="s">
        <v>239</v>
      </c>
      <c r="B17" s="153"/>
      <c r="C17" s="153" t="s">
        <v>199</v>
      </c>
      <c r="D17" s="153" t="s">
        <v>9</v>
      </c>
      <c r="E17" s="153" t="s">
        <v>240</v>
      </c>
      <c r="F17" s="153" t="s">
        <v>200</v>
      </c>
      <c r="G17" s="155" t="s">
        <v>186</v>
      </c>
      <c r="H17" s="155" t="s">
        <v>241</v>
      </c>
      <c r="I17" s="155" t="str">
        <f>CONCATENATE(Table_Query_from_MS_Access_Database_1[RTE],Table_Query_from_MS_Access_Database_1[SEC],Table_Query_from_MS_Access_Database_1[SEQ])</f>
        <v>CLC0204</v>
      </c>
      <c r="J17" s="157"/>
      <c r="K17" s="159">
        <v>42683</v>
      </c>
      <c r="L17" s="159">
        <v>42683</v>
      </c>
      <c r="M17" s="159">
        <v>42688</v>
      </c>
      <c r="N17" s="161">
        <v>-11157.93</v>
      </c>
      <c r="O17" s="161"/>
      <c r="P17" s="161"/>
      <c r="Q17" s="161">
        <f>+Table_Query_from_MS_Access_Database_1[[#This Row],[HSIP]]+Table_Query_from_MS_Access_Database_1[[#This Row],[SPR]]+Table_Query_from_MS_Access_Database_1[[#This Row],[STP OTHER]]</f>
        <v>-11157.93</v>
      </c>
      <c r="R17" s="163">
        <f>R16-Table_Query_from_MS_Access_Database_1[TOTAL OF  AMOUNT]</f>
        <v>361605.93</v>
      </c>
      <c r="S17" s="112"/>
    </row>
    <row r="18" spans="1:19" s="56" customFormat="1" ht="13.2" x14ac:dyDescent="0.3">
      <c r="A18" s="152" t="s">
        <v>242</v>
      </c>
      <c r="B18" s="154"/>
      <c r="C18" s="154" t="s">
        <v>195</v>
      </c>
      <c r="D18" s="154" t="s">
        <v>9</v>
      </c>
      <c r="E18" s="154" t="s">
        <v>243</v>
      </c>
      <c r="F18" s="154" t="s">
        <v>196</v>
      </c>
      <c r="G18" s="156" t="s">
        <v>186</v>
      </c>
      <c r="H18" s="156" t="s">
        <v>210</v>
      </c>
      <c r="I18" s="156" t="str">
        <f>CONCATENATE(Table_Query_from_MS_Access_Database_1[RTE],Table_Query_from_MS_Access_Database_1[SEC],Table_Query_from_MS_Access_Database_1[SEQ])</f>
        <v>KNG0205</v>
      </c>
      <c r="J18" s="158"/>
      <c r="K18" s="160">
        <v>42683</v>
      </c>
      <c r="L18" s="160">
        <v>42683</v>
      </c>
      <c r="M18" s="160">
        <v>42689</v>
      </c>
      <c r="N18" s="162">
        <v>-79.87</v>
      </c>
      <c r="O18" s="162"/>
      <c r="P18" s="162"/>
      <c r="Q18" s="162">
        <f>+Table_Query_from_MS_Access_Database_1[[#This Row],[HSIP]]+Table_Query_from_MS_Access_Database_1[[#This Row],[SPR]]+Table_Query_from_MS_Access_Database_1[[#This Row],[STP OTHER]]</f>
        <v>-79.87</v>
      </c>
      <c r="R18" s="163">
        <f>R17-Table_Query_from_MS_Access_Database_1[TOTAL OF  AMOUNT]</f>
        <v>361685.8</v>
      </c>
      <c r="S18" s="112"/>
    </row>
    <row r="19" spans="1:19" s="56" customFormat="1" ht="13.2" x14ac:dyDescent="0.3">
      <c r="A19" s="164" t="s">
        <v>206</v>
      </c>
      <c r="B19" s="166" t="s">
        <v>207</v>
      </c>
      <c r="C19" s="166" t="s">
        <v>195</v>
      </c>
      <c r="D19" s="166" t="s">
        <v>7</v>
      </c>
      <c r="E19" s="166" t="s">
        <v>208</v>
      </c>
      <c r="F19" s="166" t="s">
        <v>196</v>
      </c>
      <c r="G19" s="168" t="s">
        <v>186</v>
      </c>
      <c r="H19" s="168" t="s">
        <v>209</v>
      </c>
      <c r="I19" s="168" t="str">
        <f>CONCATENATE(Table_Query_from_MS_Access_Database_1[RTE],Table_Query_from_MS_Access_Database_1[SEC],Table_Query_from_MS_Access_Database_1[SEQ])</f>
        <v>KNG0209</v>
      </c>
      <c r="J19" s="170">
        <v>42828</v>
      </c>
      <c r="K19" s="172">
        <v>42706</v>
      </c>
      <c r="L19" s="172">
        <v>42712</v>
      </c>
      <c r="M19" s="172">
        <v>42718</v>
      </c>
      <c r="N19" s="174">
        <v>80640</v>
      </c>
      <c r="O19" s="174"/>
      <c r="P19" s="174"/>
      <c r="Q19" s="174">
        <f>+Table_Query_from_MS_Access_Database_1[[#This Row],[HSIP]]+Table_Query_from_MS_Access_Database_1[[#This Row],[SPR]]+Table_Query_from_MS_Access_Database_1[[#This Row],[STP OTHER]]</f>
        <v>80640</v>
      </c>
      <c r="R19" s="163">
        <f>R18-Table_Query_from_MS_Access_Database_1[TOTAL OF  AMOUNT]</f>
        <v>281045.8</v>
      </c>
      <c r="S19" s="74"/>
    </row>
    <row r="20" spans="1:19" s="56" customFormat="1" ht="13.2" x14ac:dyDescent="0.3">
      <c r="A20" s="165" t="s">
        <v>188</v>
      </c>
      <c r="B20" s="167" t="s">
        <v>234</v>
      </c>
      <c r="C20" s="167" t="s">
        <v>235</v>
      </c>
      <c r="D20" s="167" t="s">
        <v>21</v>
      </c>
      <c r="E20" s="167" t="s">
        <v>236</v>
      </c>
      <c r="F20" s="167" t="s">
        <v>237</v>
      </c>
      <c r="G20" s="169" t="s">
        <v>186</v>
      </c>
      <c r="H20" s="169" t="s">
        <v>238</v>
      </c>
      <c r="I20" s="169" t="str">
        <f>CONCATENATE(Table_Query_from_MS_Access_Database_1[RTE],Table_Query_from_MS_Access_Database_1[SEC],Table_Query_from_MS_Access_Database_1[SEQ])</f>
        <v>BUL0203</v>
      </c>
      <c r="J20" s="171">
        <v>42644</v>
      </c>
      <c r="K20" s="173">
        <v>42650</v>
      </c>
      <c r="L20" s="173">
        <v>42682</v>
      </c>
      <c r="M20" s="173">
        <v>42724</v>
      </c>
      <c r="N20" s="175"/>
      <c r="O20" s="175"/>
      <c r="P20" s="175">
        <v>-215399</v>
      </c>
      <c r="Q20" s="175">
        <f>+Table_Query_from_MS_Access_Database_1[[#This Row],[HSIP]]+Table_Query_from_MS_Access_Database_1[[#This Row],[SPR]]+Table_Query_from_MS_Access_Database_1[[#This Row],[STP OTHER]]</f>
        <v>-215399</v>
      </c>
      <c r="R20" s="163">
        <f>R19-Table_Query_from_MS_Access_Database_1[TOTAL OF  AMOUNT]</f>
        <v>496444.8</v>
      </c>
    </row>
    <row r="21" spans="1:19" s="56" customFormat="1" ht="26.4" x14ac:dyDescent="0.3">
      <c r="A21" s="165" t="s">
        <v>248</v>
      </c>
      <c r="B21" s="167" t="s">
        <v>249</v>
      </c>
      <c r="C21" s="167" t="s">
        <v>187</v>
      </c>
      <c r="D21" s="167" t="s">
        <v>21</v>
      </c>
      <c r="E21" s="167" t="s">
        <v>250</v>
      </c>
      <c r="F21" s="167" t="s">
        <v>185</v>
      </c>
      <c r="G21" s="169" t="s">
        <v>186</v>
      </c>
      <c r="H21" s="169" t="s">
        <v>251</v>
      </c>
      <c r="I21" s="169" t="str">
        <f>CONCATENATE(Table_Query_from_MS_Access_Database_1[RTE],Table_Query_from_MS_Access_Database_1[SEC],Table_Query_from_MS_Access_Database_1[SEQ])</f>
        <v>MM00210</v>
      </c>
      <c r="J21" s="171"/>
      <c r="K21" s="173">
        <v>42713</v>
      </c>
      <c r="L21" s="173">
        <v>42775</v>
      </c>
      <c r="M21" s="173">
        <v>42782</v>
      </c>
      <c r="N21" s="175">
        <v>-52439</v>
      </c>
      <c r="O21" s="175"/>
      <c r="P21" s="175"/>
      <c r="Q21" s="175">
        <f>+Table_Query_from_MS_Access_Database_1[[#This Row],[HSIP]]+Table_Query_from_MS_Access_Database_1[[#This Row],[SPR]]+Table_Query_from_MS_Access_Database_1[[#This Row],[STP OTHER]]</f>
        <v>-52439</v>
      </c>
      <c r="R21" s="163">
        <f>R20-Table_Query_from_MS_Access_Database_1[TOTAL OF  AMOUNT]</f>
        <v>548883.80000000005</v>
      </c>
    </row>
    <row r="22" spans="1:19" s="56" customFormat="1" ht="26.4" x14ac:dyDescent="0.3">
      <c r="A22" s="176" t="s">
        <v>211</v>
      </c>
      <c r="B22" s="177" t="s">
        <v>226</v>
      </c>
      <c r="C22" s="177" t="s">
        <v>187</v>
      </c>
      <c r="D22" s="177" t="s">
        <v>7</v>
      </c>
      <c r="E22" s="177" t="s">
        <v>227</v>
      </c>
      <c r="F22" s="177" t="s">
        <v>185</v>
      </c>
      <c r="G22" s="178" t="s">
        <v>186</v>
      </c>
      <c r="H22" s="178" t="s">
        <v>228</v>
      </c>
      <c r="I22" s="178" t="str">
        <f>CONCATENATE(Table_Query_from_MS_Access_Database_1[RTE],Table_Query_from_MS_Access_Database_1[SEC],Table_Query_from_MS_Access_Database_1[SEQ])</f>
        <v>MM00217</v>
      </c>
      <c r="J22" s="179">
        <v>42644</v>
      </c>
      <c r="K22" s="180">
        <v>42748</v>
      </c>
      <c r="L22" s="180">
        <v>42773</v>
      </c>
      <c r="M22" s="180">
        <v>42793</v>
      </c>
      <c r="N22" s="181"/>
      <c r="O22" s="181"/>
      <c r="P22" s="181">
        <v>230300</v>
      </c>
      <c r="Q22" s="181">
        <f>+Table_Query_from_MS_Access_Database_1[[#This Row],[HSIP]]+Table_Query_from_MS_Access_Database_1[[#This Row],[SPR]]+Table_Query_from_MS_Access_Database_1[[#This Row],[STP OTHER]]</f>
        <v>230300</v>
      </c>
      <c r="R22" s="163">
        <f>R21-Table_Query_from_MS_Access_Database_1[TOTAL OF  AMOUNT]</f>
        <v>318583.80000000005</v>
      </c>
    </row>
    <row r="23" spans="1:19" s="57" customFormat="1" ht="13.2" x14ac:dyDescent="0.3">
      <c r="A23" s="165" t="s">
        <v>260</v>
      </c>
      <c r="B23" s="167" t="s">
        <v>252</v>
      </c>
      <c r="C23" s="167" t="s">
        <v>113</v>
      </c>
      <c r="D23" s="167" t="s">
        <v>8</v>
      </c>
      <c r="E23" s="167" t="s">
        <v>261</v>
      </c>
      <c r="F23" s="167" t="s">
        <v>262</v>
      </c>
      <c r="G23" s="169" t="s">
        <v>263</v>
      </c>
      <c r="H23" s="169" t="s">
        <v>264</v>
      </c>
      <c r="I23" s="169" t="str">
        <f>CONCATENATE(Table_Query_from_MS_Access_Database_1[RTE],Table_Query_from_MS_Access_Database_1[SEC],Table_Query_from_MS_Access_Database_1[SEQ])</f>
        <v>AZ12002</v>
      </c>
      <c r="J23" s="171"/>
      <c r="K23" s="173">
        <v>42821</v>
      </c>
      <c r="L23" s="173">
        <v>42822</v>
      </c>
      <c r="M23" s="173">
        <v>42829</v>
      </c>
      <c r="N23" s="175"/>
      <c r="O23" s="175"/>
      <c r="P23" s="175">
        <v>32000</v>
      </c>
      <c r="Q23" s="175">
        <f>+Table_Query_from_MS_Access_Database_1[[#This Row],[HSIP]]+Table_Query_from_MS_Access_Database_1[[#This Row],[SPR]]+Table_Query_from_MS_Access_Database_1[[#This Row],[STP OTHER]]</f>
        <v>32000</v>
      </c>
      <c r="R23" s="163">
        <f>R22-Table_Query_from_MS_Access_Database_1[TOTAL OF  AMOUNT]</f>
        <v>286583.80000000005</v>
      </c>
      <c r="S23" s="113"/>
    </row>
    <row r="24" spans="1:19" s="56" customFormat="1" ht="26.4" x14ac:dyDescent="0.3">
      <c r="A24" s="150" t="s">
        <v>253</v>
      </c>
      <c r="B24" s="148" t="s">
        <v>203</v>
      </c>
      <c r="C24" s="148" t="s">
        <v>195</v>
      </c>
      <c r="D24" s="148" t="s">
        <v>7</v>
      </c>
      <c r="E24" s="148" t="s">
        <v>204</v>
      </c>
      <c r="F24" s="148" t="s">
        <v>196</v>
      </c>
      <c r="G24" s="182" t="s">
        <v>186</v>
      </c>
      <c r="H24" s="182" t="s">
        <v>205</v>
      </c>
      <c r="I24" s="182" t="str">
        <f>CONCATENATE(Table_Query_from_MS_Access_Database_1[RTE],Table_Query_from_MS_Access_Database_1[SEC],Table_Query_from_MS_Access_Database_1[SEQ])</f>
        <v>KNG0208</v>
      </c>
      <c r="J24" s="183">
        <v>42808</v>
      </c>
      <c r="K24" s="184">
        <v>42802</v>
      </c>
      <c r="L24" s="184">
        <v>42822</v>
      </c>
      <c r="M24" s="184">
        <v>42835</v>
      </c>
      <c r="N24" s="185">
        <v>27628</v>
      </c>
      <c r="O24" s="185"/>
      <c r="P24" s="185"/>
      <c r="Q24" s="185">
        <f>+Table_Query_from_MS_Access_Database_1[[#This Row],[HSIP]]+Table_Query_from_MS_Access_Database_1[[#This Row],[SPR]]+Table_Query_from_MS_Access_Database_1[[#This Row],[STP OTHER]]</f>
        <v>27628</v>
      </c>
      <c r="R24" s="163">
        <f>R23-Table_Query_from_MS_Access_Database_1[TOTAL OF  AMOUNT]</f>
        <v>258955.80000000005</v>
      </c>
      <c r="S24" s="74"/>
    </row>
    <row r="25" spans="1:19" s="56" customFormat="1" ht="26.4" x14ac:dyDescent="0.3">
      <c r="A25" s="150" t="s">
        <v>254</v>
      </c>
      <c r="B25" s="148" t="s">
        <v>246</v>
      </c>
      <c r="C25" s="148" t="s">
        <v>199</v>
      </c>
      <c r="D25" s="148" t="s">
        <v>7</v>
      </c>
      <c r="E25" s="148" t="s">
        <v>247</v>
      </c>
      <c r="F25" s="148" t="s">
        <v>200</v>
      </c>
      <c r="G25" s="182" t="s">
        <v>186</v>
      </c>
      <c r="H25" s="182" t="s">
        <v>210</v>
      </c>
      <c r="I25" s="182" t="str">
        <f>CONCATENATE(Table_Query_from_MS_Access_Database_1[RTE],Table_Query_from_MS_Access_Database_1[SEC],Table_Query_from_MS_Access_Database_1[SEQ])</f>
        <v>CLC0205</v>
      </c>
      <c r="J25" s="183">
        <v>42826</v>
      </c>
      <c r="K25" s="184">
        <v>42829</v>
      </c>
      <c r="L25" s="184">
        <v>42857</v>
      </c>
      <c r="M25" s="184">
        <v>42874</v>
      </c>
      <c r="N25" s="185"/>
      <c r="O25" s="185"/>
      <c r="P25" s="185">
        <v>28290</v>
      </c>
      <c r="Q25" s="185">
        <f>+Table_Query_from_MS_Access_Database_1[[#This Row],[HSIP]]+Table_Query_from_MS_Access_Database_1[[#This Row],[SPR]]+Table_Query_from_MS_Access_Database_1[[#This Row],[STP OTHER]]</f>
        <v>28290</v>
      </c>
      <c r="R25" s="163">
        <f>R24-Table_Query_from_MS_Access_Database_1[TOTAL OF  AMOUNT]</f>
        <v>230665.80000000005</v>
      </c>
      <c r="S25" s="74"/>
    </row>
    <row r="26" spans="1:19" s="56" customFormat="1" ht="26.4" x14ac:dyDescent="0.3">
      <c r="A26" s="186" t="s">
        <v>245</v>
      </c>
      <c r="B26" s="187" t="s">
        <v>246</v>
      </c>
      <c r="C26" s="187" t="s">
        <v>199</v>
      </c>
      <c r="D26" s="187" t="s">
        <v>7</v>
      </c>
      <c r="E26" s="187" t="s">
        <v>247</v>
      </c>
      <c r="F26" s="187" t="s">
        <v>200</v>
      </c>
      <c r="G26" s="188" t="s">
        <v>186</v>
      </c>
      <c r="H26" s="188" t="s">
        <v>210</v>
      </c>
      <c r="I26" s="188" t="str">
        <f>CONCATENATE(Table_Query_from_MS_Access_Database_1[RTE],Table_Query_from_MS_Access_Database_1[SEC],Table_Query_from_MS_Access_Database_1[SEQ])</f>
        <v>CLC0205</v>
      </c>
      <c r="J26" s="189">
        <v>42826</v>
      </c>
      <c r="K26" s="190">
        <v>42829</v>
      </c>
      <c r="L26" s="190">
        <v>42857</v>
      </c>
      <c r="M26" s="190">
        <v>42874</v>
      </c>
      <c r="N26" s="191"/>
      <c r="O26" s="191"/>
      <c r="P26" s="191">
        <v>42435</v>
      </c>
      <c r="Q26" s="191">
        <f>+Table_Query_from_MS_Access_Database_1[[#This Row],[HSIP]]+Table_Query_from_MS_Access_Database_1[[#This Row],[SPR]]+Table_Query_from_MS_Access_Database_1[[#This Row],[STP OTHER]]</f>
        <v>42435</v>
      </c>
      <c r="R26" s="163">
        <f>R25-Table_Query_from_MS_Access_Database_1[TOTAL OF  AMOUNT]</f>
        <v>188230.80000000005</v>
      </c>
    </row>
    <row r="27" spans="1:19" s="56" customFormat="1" ht="26.4" x14ac:dyDescent="0.3">
      <c r="A27" s="192" t="s">
        <v>254</v>
      </c>
      <c r="B27" s="194" t="s">
        <v>246</v>
      </c>
      <c r="C27" s="194" t="s">
        <v>199</v>
      </c>
      <c r="D27" s="194" t="s">
        <v>23</v>
      </c>
      <c r="E27" s="194" t="s">
        <v>247</v>
      </c>
      <c r="F27" s="194" t="s">
        <v>200</v>
      </c>
      <c r="G27" s="196" t="s">
        <v>186</v>
      </c>
      <c r="H27" s="196" t="s">
        <v>210</v>
      </c>
      <c r="I27" s="196" t="str">
        <f>CONCATENATE(Table_Query_from_MS_Access_Database_1[RTE],Table_Query_from_MS_Access_Database_1[SEC],Table_Query_from_MS_Access_Database_1[SEQ])</f>
        <v>CLC0205</v>
      </c>
      <c r="J27" s="198"/>
      <c r="K27" s="200">
        <v>42873</v>
      </c>
      <c r="L27" s="200">
        <v>42881</v>
      </c>
      <c r="M27" s="200">
        <v>42885</v>
      </c>
      <c r="N27" s="202"/>
      <c r="O27" s="202"/>
      <c r="P27" s="202">
        <v>-28290</v>
      </c>
      <c r="Q27" s="202">
        <f>+Table_Query_from_MS_Access_Database_1[[#This Row],[HSIP]]+Table_Query_from_MS_Access_Database_1[[#This Row],[SPR]]+Table_Query_from_MS_Access_Database_1[[#This Row],[STP OTHER]]</f>
        <v>-28290</v>
      </c>
      <c r="R27" s="163">
        <f>R26-Table_Query_from_MS_Access_Database_1[TOTAL OF  AMOUNT]</f>
        <v>216520.80000000005</v>
      </c>
    </row>
    <row r="28" spans="1:19" s="56" customFormat="1" ht="26.4" x14ac:dyDescent="0.3">
      <c r="A28" s="193" t="s">
        <v>245</v>
      </c>
      <c r="B28" s="195" t="s">
        <v>246</v>
      </c>
      <c r="C28" s="195" t="s">
        <v>199</v>
      </c>
      <c r="D28" s="195" t="s">
        <v>7</v>
      </c>
      <c r="E28" s="195" t="s">
        <v>247</v>
      </c>
      <c r="F28" s="195" t="s">
        <v>200</v>
      </c>
      <c r="G28" s="197" t="s">
        <v>186</v>
      </c>
      <c r="H28" s="197" t="s">
        <v>210</v>
      </c>
      <c r="I28" s="197" t="str">
        <f>CONCATENATE(Table_Query_from_MS_Access_Database_1[RTE],Table_Query_from_MS_Access_Database_1[SEC],Table_Query_from_MS_Access_Database_1[SEQ])</f>
        <v>CLC0205</v>
      </c>
      <c r="J28" s="199"/>
      <c r="K28" s="201">
        <v>42873</v>
      </c>
      <c r="L28" s="201">
        <v>42881</v>
      </c>
      <c r="M28" s="201">
        <v>42885</v>
      </c>
      <c r="N28" s="203"/>
      <c r="O28" s="203"/>
      <c r="P28" s="203">
        <v>28290</v>
      </c>
      <c r="Q28" s="203">
        <f>+Table_Query_from_MS_Access_Database_1[[#This Row],[HSIP]]+Table_Query_from_MS_Access_Database_1[[#This Row],[SPR]]+Table_Query_from_MS_Access_Database_1[[#This Row],[STP OTHER]]</f>
        <v>28290</v>
      </c>
      <c r="R28" s="163">
        <f>R27-Table_Query_from_MS_Access_Database_1[TOTAL OF  AMOUNT]</f>
        <v>188230.80000000005</v>
      </c>
    </row>
    <row r="29" spans="1:19" s="56" customFormat="1" ht="26.4" x14ac:dyDescent="0.3">
      <c r="A29" s="193" t="s">
        <v>265</v>
      </c>
      <c r="B29" s="195" t="s">
        <v>217</v>
      </c>
      <c r="C29" s="195" t="s">
        <v>113</v>
      </c>
      <c r="D29" s="195" t="s">
        <v>7</v>
      </c>
      <c r="E29" s="195" t="s">
        <v>266</v>
      </c>
      <c r="F29" s="195" t="s">
        <v>267</v>
      </c>
      <c r="G29" s="197" t="s">
        <v>268</v>
      </c>
      <c r="H29" s="197" t="s">
        <v>269</v>
      </c>
      <c r="I29" s="197" t="str">
        <f>CONCATENATE(Table_Query_from_MS_Access_Database_1[RTE],Table_Query_from_MS_Access_Database_1[SEC],Table_Query_from_MS_Access_Database_1[SEQ])</f>
        <v>094A287</v>
      </c>
      <c r="J29" s="199"/>
      <c r="K29" s="201">
        <v>42885</v>
      </c>
      <c r="L29" s="201">
        <v>42891</v>
      </c>
      <c r="M29" s="201">
        <v>42894</v>
      </c>
      <c r="N29" s="203"/>
      <c r="O29" s="203"/>
      <c r="P29" s="203">
        <v>5000</v>
      </c>
      <c r="Q29" s="203">
        <f>+Table_Query_from_MS_Access_Database_1[[#This Row],[HSIP]]+Table_Query_from_MS_Access_Database_1[[#This Row],[SPR]]+Table_Query_from_MS_Access_Database_1[[#This Row],[STP OTHER]]</f>
        <v>5000</v>
      </c>
      <c r="R29" s="163">
        <f>R28-Table_Query_from_MS_Access_Database_1[TOTAL OF  AMOUNT]</f>
        <v>183230.80000000005</v>
      </c>
    </row>
    <row r="30" spans="1:19" s="56" customFormat="1" ht="13.2" x14ac:dyDescent="0.3">
      <c r="A30" s="193" t="s">
        <v>223</v>
      </c>
      <c r="B30" s="195"/>
      <c r="C30" s="195" t="s">
        <v>116</v>
      </c>
      <c r="D30" s="195" t="s">
        <v>7</v>
      </c>
      <c r="E30" s="195" t="s">
        <v>224</v>
      </c>
      <c r="F30" s="195" t="s">
        <v>220</v>
      </c>
      <c r="G30" s="197" t="s">
        <v>221</v>
      </c>
      <c r="H30" s="197" t="s">
        <v>225</v>
      </c>
      <c r="I30" s="197" t="str">
        <f>CONCATENATE(Table_Query_from_MS_Access_Database_1[RTE],Table_Query_from_MS_Access_Database_1[SEC],Table_Query_from_MS_Access_Database_1[SEQ])</f>
        <v>WACS018</v>
      </c>
      <c r="J30" s="199">
        <v>42901</v>
      </c>
      <c r="K30" s="201">
        <v>42905</v>
      </c>
      <c r="L30" s="201">
        <v>42905</v>
      </c>
      <c r="M30" s="201">
        <v>42907</v>
      </c>
      <c r="N30" s="203"/>
      <c r="O30" s="203">
        <v>43750</v>
      </c>
      <c r="P30" s="203"/>
      <c r="Q30" s="203">
        <f>+Table_Query_from_MS_Access_Database_1[[#This Row],[HSIP]]+Table_Query_from_MS_Access_Database_1[[#This Row],[SPR]]+Table_Query_from_MS_Access_Database_1[[#This Row],[STP OTHER]]</f>
        <v>43750</v>
      </c>
      <c r="R30" s="163">
        <f>R29-Table_Query_from_MS_Access_Database_1[TOTAL OF  AMOUNT]</f>
        <v>139480.80000000005</v>
      </c>
    </row>
    <row r="31" spans="1:19" s="56" customFormat="1" ht="26.4" x14ac:dyDescent="0.3">
      <c r="A31" s="193" t="s">
        <v>271</v>
      </c>
      <c r="B31" s="195" t="s">
        <v>272</v>
      </c>
      <c r="C31" s="195" t="s">
        <v>187</v>
      </c>
      <c r="D31" s="195" t="s">
        <v>9</v>
      </c>
      <c r="E31" s="195" t="s">
        <v>273</v>
      </c>
      <c r="F31" s="195" t="s">
        <v>185</v>
      </c>
      <c r="G31" s="197" t="s">
        <v>186</v>
      </c>
      <c r="H31" s="197" t="s">
        <v>274</v>
      </c>
      <c r="I31" s="197" t="str">
        <f>CONCATENATE(Table_Query_from_MS_Access_Database_1[RTE],Table_Query_from_MS_Access_Database_1[SEC],Table_Query_from_MS_Access_Database_1[SEQ])</f>
        <v>MM00211</v>
      </c>
      <c r="J31" s="199"/>
      <c r="K31" s="201">
        <v>42928</v>
      </c>
      <c r="L31" s="201">
        <v>42928</v>
      </c>
      <c r="M31" s="201">
        <v>42930</v>
      </c>
      <c r="N31" s="203">
        <v>-1501.09</v>
      </c>
      <c r="O31" s="203"/>
      <c r="P31" s="203"/>
      <c r="Q31" s="203">
        <f>+Table_Query_from_MS_Access_Database_1[[#This Row],[HSIP]]+Table_Query_from_MS_Access_Database_1[[#This Row],[SPR]]+Table_Query_from_MS_Access_Database_1[[#This Row],[STP OTHER]]</f>
        <v>-1501.09</v>
      </c>
      <c r="R31" s="163">
        <f>R30-Table_Query_from_MS_Access_Database_1[TOTAL OF  AMOUNT]</f>
        <v>140981.89000000004</v>
      </c>
    </row>
    <row r="32" spans="1:19" s="56" customFormat="1" ht="26.4" x14ac:dyDescent="0.3">
      <c r="A32" s="193" t="s">
        <v>275</v>
      </c>
      <c r="B32" s="195" t="s">
        <v>276</v>
      </c>
      <c r="C32" s="195" t="s">
        <v>187</v>
      </c>
      <c r="D32" s="195" t="s">
        <v>9</v>
      </c>
      <c r="E32" s="195" t="s">
        <v>273</v>
      </c>
      <c r="F32" s="195" t="s">
        <v>185</v>
      </c>
      <c r="G32" s="197" t="s">
        <v>186</v>
      </c>
      <c r="H32" s="197" t="s">
        <v>274</v>
      </c>
      <c r="I32" s="197" t="str">
        <f>CONCATENATE(Table_Query_from_MS_Access_Database_1[RTE],Table_Query_from_MS_Access_Database_1[SEC],Table_Query_from_MS_Access_Database_1[SEQ])</f>
        <v>MM00211</v>
      </c>
      <c r="J32" s="199"/>
      <c r="K32" s="201">
        <v>42928</v>
      </c>
      <c r="L32" s="201">
        <v>42928</v>
      </c>
      <c r="M32" s="201">
        <v>42930</v>
      </c>
      <c r="N32" s="203">
        <v>-10216.77</v>
      </c>
      <c r="O32" s="203"/>
      <c r="P32" s="203"/>
      <c r="Q32" s="203">
        <f>+Table_Query_from_MS_Access_Database_1[[#This Row],[HSIP]]+Table_Query_from_MS_Access_Database_1[[#This Row],[SPR]]+Table_Query_from_MS_Access_Database_1[[#This Row],[STP OTHER]]</f>
        <v>-10216.77</v>
      </c>
      <c r="R32" s="163">
        <f>R31-Table_Query_from_MS_Access_Database_1[TOTAL OF  AMOUNT]</f>
        <v>151198.66000000003</v>
      </c>
    </row>
    <row r="33" spans="1:18" s="56" customFormat="1" ht="26.4" x14ac:dyDescent="0.3">
      <c r="A33" s="193" t="s">
        <v>270</v>
      </c>
      <c r="B33" s="195" t="s">
        <v>203</v>
      </c>
      <c r="C33" s="195" t="s">
        <v>195</v>
      </c>
      <c r="D33" s="195" t="s">
        <v>8</v>
      </c>
      <c r="E33" s="195" t="s">
        <v>204</v>
      </c>
      <c r="F33" s="195" t="s">
        <v>196</v>
      </c>
      <c r="G33" s="197" t="s">
        <v>186</v>
      </c>
      <c r="H33" s="197" t="s">
        <v>205</v>
      </c>
      <c r="I33" s="197" t="str">
        <f>CONCATENATE(Table_Query_from_MS_Access_Database_1[RTE],Table_Query_from_MS_Access_Database_1[SEC],Table_Query_from_MS_Access_Database_1[SEQ])</f>
        <v>KNG0208</v>
      </c>
      <c r="J33" s="199"/>
      <c r="K33" s="201">
        <v>42908</v>
      </c>
      <c r="L33" s="201">
        <v>42915</v>
      </c>
      <c r="M33" s="201">
        <v>42934</v>
      </c>
      <c r="N33" s="203">
        <v>125972</v>
      </c>
      <c r="O33" s="203"/>
      <c r="P33" s="203"/>
      <c r="Q33" s="203">
        <f>+Table_Query_from_MS_Access_Database_1[[#This Row],[HSIP]]+Table_Query_from_MS_Access_Database_1[[#This Row],[SPR]]+Table_Query_from_MS_Access_Database_1[[#This Row],[STP OTHER]]</f>
        <v>125972</v>
      </c>
      <c r="R33" s="163">
        <f>R32-Table_Query_from_MS_Access_Database_1[TOTAL OF  AMOUNT]</f>
        <v>25226.660000000033</v>
      </c>
    </row>
    <row r="34" spans="1:18" s="56" customFormat="1" ht="13.2" x14ac:dyDescent="0.3">
      <c r="F34" s="57"/>
      <c r="G34" s="57"/>
      <c r="H34" s="57"/>
      <c r="I34" s="57"/>
      <c r="J34" s="58"/>
      <c r="K34" s="58"/>
      <c r="L34" s="58"/>
      <c r="M34" s="59" t="s">
        <v>88</v>
      </c>
      <c r="N34" s="134">
        <f>SUM(Table_Query_from_MS_Access_Database_1[HSIP])</f>
        <v>158845.34</v>
      </c>
      <c r="O34" s="134">
        <f>SUM(Table_Query_from_MS_Access_Database_1[SPR])</f>
        <v>137500</v>
      </c>
      <c r="P34" s="134">
        <f>SUM(Table_Query_from_MS_Access_Database_1[STP OTHER])</f>
        <v>122626</v>
      </c>
      <c r="Q34" s="134">
        <f>SUM(Table_Query_from_MS_Access_Database_1[TOTAL OF  AMOUNT])</f>
        <v>418971.33999999997</v>
      </c>
      <c r="R34" s="135"/>
    </row>
    <row r="35" spans="1:18" s="56" customFormat="1" ht="13.2" x14ac:dyDescent="0.3">
      <c r="A35" s="48"/>
      <c r="B35" s="48"/>
      <c r="C35" s="48"/>
      <c r="D35" s="48"/>
      <c r="E35" s="48"/>
      <c r="F35" s="48"/>
      <c r="G35" s="48"/>
      <c r="H35" s="48"/>
      <c r="I35" s="48"/>
      <c r="J35" s="60"/>
      <c r="K35" s="60"/>
      <c r="L35" s="60"/>
      <c r="M35" s="61" t="s">
        <v>87</v>
      </c>
      <c r="N35" s="133">
        <f>+N12-N34</f>
        <v>45921.66</v>
      </c>
      <c r="O35" s="133">
        <f>+O12-O34</f>
        <v>0</v>
      </c>
      <c r="P35" s="133">
        <f>+P12-P34</f>
        <v>54598</v>
      </c>
      <c r="Q35" s="133">
        <f>+Q12-Q34</f>
        <v>100519.66000000003</v>
      </c>
      <c r="R35" s="135"/>
    </row>
    <row r="36" spans="1:18" s="56" customFormat="1" x14ac:dyDescent="0.3">
      <c r="A36" s="49"/>
      <c r="B36" s="49"/>
      <c r="C36" s="49"/>
      <c r="D36" s="49"/>
      <c r="E36" s="49"/>
      <c r="F36" s="49"/>
      <c r="G36" s="49"/>
      <c r="H36" s="49"/>
      <c r="I36" s="49"/>
      <c r="J36" s="62"/>
      <c r="K36" s="62"/>
      <c r="L36" s="62"/>
      <c r="M36" s="63"/>
      <c r="N36" s="47"/>
      <c r="O36" s="47"/>
      <c r="P36" s="47"/>
      <c r="Q36" s="47"/>
      <c r="R36" s="53"/>
    </row>
    <row r="37" spans="1:18" s="56" customFormat="1" ht="16.8" x14ac:dyDescent="0.35">
      <c r="A37" s="206" t="s">
        <v>37</v>
      </c>
      <c r="B37" s="206"/>
      <c r="C37" s="206"/>
      <c r="D37" s="206"/>
      <c r="E37" s="64"/>
      <c r="F37" s="64"/>
      <c r="G37" s="65"/>
      <c r="H37" s="65"/>
      <c r="I37" s="65"/>
      <c r="J37" s="66"/>
      <c r="K37" s="67"/>
      <c r="L37" s="67"/>
      <c r="M37" s="67"/>
      <c r="N37" s="68"/>
      <c r="O37" s="47"/>
      <c r="P37" s="47"/>
      <c r="Q37" s="49"/>
      <c r="R37" s="49"/>
    </row>
    <row r="38" spans="1:18" s="56" customFormat="1" ht="39.6" x14ac:dyDescent="0.3">
      <c r="A38" s="69" t="s">
        <v>1</v>
      </c>
      <c r="B38" s="70" t="s">
        <v>0</v>
      </c>
      <c r="C38" s="70" t="s">
        <v>3</v>
      </c>
      <c r="D38" s="70" t="s">
        <v>96</v>
      </c>
      <c r="E38" s="70" t="s">
        <v>2</v>
      </c>
      <c r="F38" s="70" t="s">
        <v>54</v>
      </c>
      <c r="G38" s="70" t="s">
        <v>55</v>
      </c>
      <c r="H38" s="70" t="s">
        <v>56</v>
      </c>
      <c r="I38" s="70" t="s">
        <v>62</v>
      </c>
      <c r="J38" s="70" t="s">
        <v>57</v>
      </c>
      <c r="K38" s="70" t="s">
        <v>58</v>
      </c>
      <c r="L38" s="70" t="s">
        <v>59</v>
      </c>
      <c r="M38" s="70" t="s">
        <v>60</v>
      </c>
      <c r="N38" s="71" t="s">
        <v>4</v>
      </c>
      <c r="O38" s="72" t="s">
        <v>5</v>
      </c>
      <c r="P38" s="71" t="s">
        <v>61</v>
      </c>
      <c r="Q38" s="71" t="s">
        <v>104</v>
      </c>
      <c r="R38" s="121" t="s">
        <v>63</v>
      </c>
    </row>
    <row r="39" spans="1:18" s="53" customFormat="1" x14ac:dyDescent="0.3">
      <c r="A39" s="79"/>
      <c r="B39" s="143"/>
      <c r="C39" s="143"/>
      <c r="D39" s="143"/>
      <c r="E39" s="143"/>
      <c r="F39" s="144"/>
      <c r="G39" s="144"/>
      <c r="H39" s="144"/>
      <c r="I39" s="144" t="str">
        <f>CONCATENATE(Table_Query_from_MS_Access_Database_2[RTE],Table_Query_from_MS_Access_Database_2[SEC],Table_Query_from_MS_Access_Database_2[SEQ])</f>
        <v/>
      </c>
      <c r="J39" s="144"/>
      <c r="K39" s="144"/>
      <c r="L39" s="144"/>
      <c r="M39" s="144"/>
      <c r="N39" s="145"/>
      <c r="O39" s="137"/>
      <c r="P39" s="145"/>
      <c r="Q39" s="146">
        <f>SUM(Table_Query_from_MS_Access_Database_2[[HSIP]:[STP OTHER]])</f>
        <v>0</v>
      </c>
      <c r="R39" s="147">
        <f>R33-Table_Query_from_MS_Access_Database_2[TOTAL OF AMOUNT]</f>
        <v>25226.660000000033</v>
      </c>
    </row>
    <row r="40" spans="1:18" s="53" customFormat="1" x14ac:dyDescent="0.3">
      <c r="A40" s="56"/>
      <c r="B40" s="56"/>
      <c r="C40" s="56"/>
      <c r="D40" s="56"/>
      <c r="E40" s="56"/>
      <c r="F40" s="56"/>
      <c r="G40" s="56"/>
      <c r="H40" s="56"/>
      <c r="I40" s="56"/>
      <c r="J40" s="73"/>
      <c r="K40" s="73"/>
      <c r="L40" s="73"/>
      <c r="M40" s="59" t="s">
        <v>105</v>
      </c>
      <c r="N40" s="134">
        <f>SUM(Table_Query_from_MS_Access_Database_2[[#All],[HSIP]])</f>
        <v>0</v>
      </c>
      <c r="O40" s="134">
        <f>SUM(Table_Query_from_MS_Access_Database_2[[#All],[SPR]])</f>
        <v>0</v>
      </c>
      <c r="P40" s="134">
        <f>SUM(Table_Query_from_MS_Access_Database_2[[#All],[STP OTHER]])</f>
        <v>0</v>
      </c>
      <c r="Q40" s="134">
        <f>SUM(Table_Query_from_MS_Access_Database_2[[#All],[TOTAL OF AMOUNT]])</f>
        <v>0</v>
      </c>
      <c r="R40" s="136"/>
    </row>
    <row r="41" spans="1:18" s="53" customFormat="1" x14ac:dyDescent="0.3">
      <c r="A41" s="56"/>
      <c r="B41" s="75"/>
      <c r="C41" s="75"/>
      <c r="D41" s="75"/>
      <c r="E41" s="56"/>
      <c r="F41" s="56"/>
      <c r="G41" s="56"/>
      <c r="H41" s="56"/>
      <c r="I41" s="56"/>
      <c r="J41" s="73"/>
      <c r="K41" s="73"/>
      <c r="L41" s="73"/>
      <c r="M41" s="61" t="s">
        <v>87</v>
      </c>
      <c r="N41" s="133">
        <f>+N35-N40</f>
        <v>45921.66</v>
      </c>
      <c r="O41" s="133">
        <f>+O35-O40</f>
        <v>0</v>
      </c>
      <c r="P41" s="133">
        <f>+P35-P40</f>
        <v>54598</v>
      </c>
      <c r="Q41" s="133">
        <f>+Q35-Q40</f>
        <v>100519.66000000003</v>
      </c>
      <c r="R41" s="135"/>
    </row>
    <row r="42" spans="1:18" s="56" customFormat="1" x14ac:dyDescent="0.3">
      <c r="A42" s="53"/>
      <c r="B42" s="53"/>
      <c r="C42" s="53"/>
      <c r="D42" s="53"/>
      <c r="E42" s="53"/>
      <c r="F42" s="53"/>
      <c r="G42" s="53"/>
      <c r="H42" s="53"/>
      <c r="I42" s="53"/>
      <c r="J42" s="54"/>
      <c r="K42" s="54"/>
      <c r="L42" s="54"/>
      <c r="M42" s="54"/>
      <c r="N42" s="55"/>
      <c r="O42" s="55"/>
      <c r="P42" s="55"/>
      <c r="Q42" s="55"/>
      <c r="R42" s="53"/>
    </row>
    <row r="43" spans="1:18" s="56" customFormat="1" x14ac:dyDescent="0.3">
      <c r="A43" s="53"/>
      <c r="B43" s="53"/>
      <c r="C43" s="53"/>
      <c r="D43" s="53"/>
      <c r="E43" s="53"/>
      <c r="F43" s="53"/>
      <c r="G43" s="53"/>
      <c r="H43" s="53"/>
      <c r="I43" s="53"/>
      <c r="J43" s="54"/>
      <c r="K43" s="54"/>
      <c r="L43" s="54"/>
      <c r="M43" s="54"/>
      <c r="N43" s="55"/>
      <c r="O43" s="55"/>
      <c r="P43" s="55"/>
      <c r="Q43" s="55"/>
      <c r="R43" s="53"/>
    </row>
    <row r="44" spans="1:18" s="56" customFormat="1" ht="16.8" x14ac:dyDescent="0.3">
      <c r="A44" s="76" t="s">
        <v>89</v>
      </c>
      <c r="B44" s="53"/>
      <c r="C44" s="53"/>
      <c r="D44" s="53"/>
      <c r="E44" s="53"/>
      <c r="F44" s="53"/>
      <c r="G44" s="53"/>
      <c r="H44" s="53"/>
      <c r="I44" s="53"/>
      <c r="J44" s="54"/>
      <c r="K44" s="54"/>
      <c r="L44" s="54"/>
      <c r="M44" s="54"/>
      <c r="N44" s="204" t="s">
        <v>68</v>
      </c>
      <c r="O44" s="204"/>
      <c r="P44" s="204"/>
      <c r="Q44" s="204"/>
      <c r="R44" s="64"/>
    </row>
    <row r="45" spans="1:18" s="56" customFormat="1" x14ac:dyDescent="0.3">
      <c r="A45" s="53"/>
      <c r="B45" s="53"/>
      <c r="C45" s="53"/>
      <c r="D45" s="53"/>
      <c r="E45" s="53"/>
      <c r="F45" s="53"/>
      <c r="G45" s="53"/>
      <c r="H45" s="53"/>
      <c r="I45" s="53"/>
      <c r="J45" s="54"/>
      <c r="K45" s="54"/>
      <c r="L45" s="54"/>
      <c r="M45" s="77"/>
      <c r="N45" s="104" t="s">
        <v>4</v>
      </c>
      <c r="O45" s="104" t="s">
        <v>5</v>
      </c>
      <c r="P45" s="104" t="s">
        <v>69</v>
      </c>
      <c r="Q45" s="104" t="s">
        <v>64</v>
      </c>
      <c r="R45" s="95" t="s">
        <v>70</v>
      </c>
    </row>
    <row r="46" spans="1:18" s="53" customFormat="1" x14ac:dyDescent="0.3">
      <c r="A46" s="56"/>
      <c r="B46" s="56"/>
      <c r="C46" s="56"/>
      <c r="D46" s="56"/>
      <c r="E46" s="56"/>
      <c r="F46" s="56"/>
      <c r="G46" s="56"/>
      <c r="H46" s="56"/>
      <c r="I46" s="56"/>
      <c r="J46" s="73"/>
      <c r="K46" s="73"/>
      <c r="L46" s="73"/>
      <c r="M46" s="114" t="s">
        <v>213</v>
      </c>
      <c r="N46" s="116">
        <f>+N41</f>
        <v>45921.66</v>
      </c>
      <c r="O46" s="116">
        <f>+O41</f>
        <v>0</v>
      </c>
      <c r="P46" s="116">
        <f>+P41</f>
        <v>54598</v>
      </c>
      <c r="Q46" s="117">
        <f>SUM(N46:P46)</f>
        <v>100519.66</v>
      </c>
      <c r="R46" s="141">
        <f>R39</f>
        <v>25226.660000000033</v>
      </c>
    </row>
    <row r="47" spans="1:18" s="53" customFormat="1" x14ac:dyDescent="0.3">
      <c r="A47" s="56"/>
      <c r="B47" s="56"/>
      <c r="C47" s="56"/>
      <c r="D47" s="56"/>
      <c r="E47" s="56"/>
      <c r="F47" s="56"/>
      <c r="G47" s="56"/>
      <c r="H47" s="56"/>
      <c r="I47" s="56"/>
      <c r="J47" s="73"/>
      <c r="K47" s="73"/>
      <c r="L47" s="73"/>
      <c r="M47" s="114" t="s">
        <v>214</v>
      </c>
      <c r="N47" s="118">
        <f>SUMIFS(Table_Query_from_MS_Access_Database[[#All],[HSIP]],Table_Query_from_MS_Access_Database[[#All],[Transaction Year]],"2015",Table_Query_from_MS_Access_Database[[#All],[Transaction Type]],"Lapsing")</f>
        <v>0</v>
      </c>
      <c r="O47" s="118">
        <f>SUMIFS(Table_Query_from_MS_Access_Database[[#All],[SPR]],Table_Query_from_MS_Access_Database[[#All],[Transaction Year]],"2015",Table_Query_from_MS_Access_Database[[#All],[Transaction Type]],"Lapsing")</f>
        <v>0</v>
      </c>
      <c r="P47" s="118">
        <f>SUMIFS(Table_Query_from_MS_Access_Database[[#All],[STP other]],Table_Query_from_MS_Access_Database[[#All],[Transaction Year]],"2015",Table_Query_from_MS_Access_Database[[#All],[Transaction Type]],"Lapsing")</f>
        <v>0</v>
      </c>
      <c r="Q47" s="118">
        <f>SUM(N47:P47)</f>
        <v>0</v>
      </c>
      <c r="R47" s="118">
        <f>SUMIFS(Table_Query_from_MS_Access_Database_16[[#All],[Total]],Table_Query_from_MS_Access_Database_16[[#All],[Transaction Year]],"2015",Table_Query_from_MS_Access_Database_16[[#All],[Transaction Type]],"Lapsing")</f>
        <v>0</v>
      </c>
    </row>
    <row r="48" spans="1:18" s="53" customFormat="1" x14ac:dyDescent="0.3">
      <c r="A48" s="56"/>
      <c r="B48" s="56"/>
      <c r="C48" s="56"/>
      <c r="D48" s="56"/>
      <c r="E48" s="56"/>
      <c r="F48" s="56"/>
      <c r="G48" s="56"/>
      <c r="H48" s="56"/>
      <c r="I48" s="56"/>
      <c r="J48" s="73"/>
      <c r="K48" s="73"/>
      <c r="L48" s="73"/>
      <c r="M48" s="114" t="s">
        <v>215</v>
      </c>
      <c r="N48" s="116">
        <f>N46-N49</f>
        <v>20695.000000000004</v>
      </c>
      <c r="O48" s="116">
        <f t="shared" ref="O48:P48" si="1">SUM(O46:O47)</f>
        <v>0</v>
      </c>
      <c r="P48" s="116">
        <f t="shared" si="1"/>
        <v>54598</v>
      </c>
      <c r="Q48" s="116">
        <f>SUM(Q46:Q47)</f>
        <v>100519.66</v>
      </c>
      <c r="R48" s="116">
        <f>R46-R49</f>
        <v>3.2741809263825417E-11</v>
      </c>
    </row>
    <row r="49" spans="1:18" s="53" customFormat="1" x14ac:dyDescent="0.3">
      <c r="A49" s="56"/>
      <c r="B49" s="56"/>
      <c r="C49" s="56"/>
      <c r="D49" s="56"/>
      <c r="E49" s="56"/>
      <c r="F49" s="56"/>
      <c r="G49" s="56"/>
      <c r="H49" s="56"/>
      <c r="I49" s="56"/>
      <c r="J49" s="73"/>
      <c r="K49" s="73"/>
      <c r="L49" s="73"/>
      <c r="M49" s="115" t="s">
        <v>216</v>
      </c>
      <c r="N49" s="118">
        <v>25226.66</v>
      </c>
      <c r="O49" s="118">
        <v>0</v>
      </c>
      <c r="P49" s="118">
        <f>+P41-P46</f>
        <v>0</v>
      </c>
      <c r="Q49" s="118">
        <v>0</v>
      </c>
      <c r="R49" s="118">
        <v>25226.66</v>
      </c>
    </row>
    <row r="50" spans="1:18" s="56" customFormat="1" x14ac:dyDescent="0.3">
      <c r="A50" s="53"/>
      <c r="B50" s="53"/>
      <c r="C50" s="53"/>
      <c r="D50" s="53"/>
      <c r="E50" s="53"/>
      <c r="F50" s="53"/>
      <c r="G50" s="53"/>
      <c r="H50" s="53"/>
      <c r="I50" s="53"/>
      <c r="J50" s="54"/>
      <c r="K50" s="54"/>
      <c r="L50" s="54"/>
      <c r="M50" s="54"/>
      <c r="N50" s="55"/>
      <c r="O50" s="55"/>
      <c r="P50" s="55"/>
      <c r="Q50" s="55"/>
      <c r="R50" s="53"/>
    </row>
    <row r="51" spans="1:18" s="56" customFormat="1" x14ac:dyDescent="0.3">
      <c r="A51" s="32"/>
      <c r="B51" s="32"/>
      <c r="C51" s="32"/>
      <c r="D51" s="32"/>
      <c r="E51" s="32"/>
      <c r="F51" s="32"/>
      <c r="G51" s="32"/>
      <c r="H51" s="32"/>
      <c r="I51" s="32"/>
      <c r="J51" s="33"/>
      <c r="K51" s="33"/>
      <c r="L51" s="33"/>
      <c r="M51" s="33"/>
      <c r="N51" s="35"/>
      <c r="O51" s="35"/>
      <c r="P51" s="35"/>
      <c r="Q51" s="35"/>
      <c r="R51" s="32"/>
    </row>
    <row r="52" spans="1:18" s="56" customFormat="1" x14ac:dyDescent="0.3">
      <c r="A52" s="32"/>
      <c r="B52" s="32"/>
      <c r="C52" s="32"/>
      <c r="D52" s="32"/>
      <c r="E52" s="32"/>
      <c r="F52" s="32"/>
      <c r="G52" s="32"/>
      <c r="H52" s="32"/>
      <c r="I52" s="32"/>
      <c r="J52" s="33"/>
      <c r="K52" s="33"/>
      <c r="L52" s="33"/>
      <c r="M52" s="33"/>
      <c r="N52" s="35"/>
      <c r="O52" s="35"/>
      <c r="P52" s="35"/>
      <c r="Q52" s="35"/>
      <c r="R52" s="32"/>
    </row>
    <row r="53" spans="1:18" s="56" customFormat="1" x14ac:dyDescent="0.3">
      <c r="A53" s="32"/>
      <c r="B53" s="32"/>
      <c r="C53" s="32"/>
      <c r="D53" s="32"/>
      <c r="E53" s="32"/>
      <c r="F53" s="32"/>
      <c r="G53" s="32"/>
      <c r="H53" s="32"/>
      <c r="I53" s="32"/>
      <c r="J53" s="33"/>
      <c r="K53" s="33"/>
      <c r="L53" s="33"/>
      <c r="M53" s="33"/>
      <c r="N53" s="35"/>
      <c r="O53" s="35"/>
      <c r="P53" s="35"/>
      <c r="Q53" s="35"/>
      <c r="R53" s="32"/>
    </row>
  </sheetData>
  <sheetProtection autoFilter="0"/>
  <mergeCells count="10">
    <mergeCell ref="N44:Q44"/>
    <mergeCell ref="A1:F1"/>
    <mergeCell ref="A14:D14"/>
    <mergeCell ref="O2:R2"/>
    <mergeCell ref="A9:L9"/>
    <mergeCell ref="N1:S1"/>
    <mergeCell ref="A3:D3"/>
    <mergeCell ref="A4:D4"/>
    <mergeCell ref="J14:M14"/>
    <mergeCell ref="A37:D37"/>
  </mergeCells>
  <pageMargins left="0.5" right="0.25" top="0.75" bottom="0.75" header="0.3" footer="0.3"/>
  <pageSetup paperSize="17" scale="79" fitToHeight="0" orientation="landscape" horizontalDpi="1200" verticalDpi="1200" r:id="rId1"/>
  <headerFooter>
    <oddFooter>&amp;L&amp;8&amp;Z&amp;F&amp;R&amp;P of &amp;N</oddFooter>
  </headerFooter>
  <rowBreaks count="1" manualBreakCount="1">
    <brk id="39" max="18" man="1"/>
  </rowBreaks>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20"/>
  <sheetViews>
    <sheetView topLeftCell="A22" zoomScaleNormal="100" workbookViewId="0">
      <selection sqref="A1:F1"/>
    </sheetView>
  </sheetViews>
  <sheetFormatPr defaultColWidth="19.6640625" defaultRowHeight="14.4" x14ac:dyDescent="0.3"/>
  <cols>
    <col min="1" max="1" width="18.5546875" style="24" customWidth="1"/>
    <col min="2" max="2" width="19" style="24" customWidth="1"/>
    <col min="3" max="3" width="18.21875" style="24" customWidth="1"/>
    <col min="4" max="4" width="18.44140625" style="24" customWidth="1"/>
    <col min="5" max="5" width="13.33203125" style="24" customWidth="1"/>
    <col min="6" max="6" width="10" style="24" customWidth="1"/>
    <col min="7" max="7" width="13.44140625" style="24" customWidth="1"/>
    <col min="8" max="8" width="11.77734375" style="25" customWidth="1"/>
    <col min="9" max="9" width="6.5546875" style="24" customWidth="1"/>
    <col min="10" max="10" width="7.77734375" style="24" customWidth="1"/>
    <col min="11" max="11" width="13.33203125" style="24" customWidth="1"/>
    <col min="12" max="12" width="16.5546875" style="24" customWidth="1"/>
    <col min="13" max="13" width="11.77734375" style="24" customWidth="1"/>
    <col min="14" max="14" width="15.6640625" style="24" customWidth="1"/>
    <col min="15" max="16" width="9.77734375" style="24" customWidth="1"/>
    <col min="17" max="17" width="19.5546875" style="24" customWidth="1"/>
    <col min="18" max="18" width="44.6640625" style="24" customWidth="1"/>
    <col min="19" max="19" width="9.5546875" style="24" customWidth="1"/>
    <col min="20" max="16384" width="19.6640625" style="9"/>
  </cols>
  <sheetData>
    <row r="1" spans="1:19" ht="18.600000000000001" x14ac:dyDescent="0.35">
      <c r="A1" s="216" t="str">
        <f>+'Federal Funds Transactions'!A1:F1</f>
        <v>Western Arizona Council of Goverments</v>
      </c>
      <c r="B1" s="216"/>
      <c r="C1" s="216"/>
      <c r="D1" s="216"/>
      <c r="E1" s="216"/>
      <c r="F1" s="216"/>
    </row>
    <row r="2" spans="1:19" x14ac:dyDescent="0.35">
      <c r="A2" s="26"/>
      <c r="B2" s="26"/>
      <c r="C2" s="26"/>
      <c r="D2" s="26"/>
      <c r="E2" s="26"/>
      <c r="F2" s="26"/>
    </row>
    <row r="3" spans="1:19" x14ac:dyDescent="0.35">
      <c r="A3" s="217" t="s">
        <v>95</v>
      </c>
      <c r="B3" s="217"/>
      <c r="C3" s="217"/>
      <c r="D3" s="217"/>
      <c r="E3" s="217"/>
      <c r="F3" s="217"/>
    </row>
    <row r="4" spans="1:19" x14ac:dyDescent="0.35">
      <c r="A4" s="27"/>
      <c r="B4" s="27"/>
      <c r="C4" s="27"/>
      <c r="D4" s="27"/>
      <c r="E4" s="27"/>
      <c r="F4" s="27"/>
    </row>
    <row r="5" spans="1:19" x14ac:dyDescent="0.35">
      <c r="A5" s="24" t="s">
        <v>94</v>
      </c>
      <c r="B5" s="92">
        <f>+'Federal Funds Transactions'!C5</f>
        <v>43008</v>
      </c>
      <c r="C5" s="26"/>
      <c r="D5" s="26"/>
      <c r="E5" s="26"/>
      <c r="F5" s="26"/>
    </row>
    <row r="6" spans="1:19" x14ac:dyDescent="0.35">
      <c r="A6" s="26"/>
      <c r="B6" s="26"/>
      <c r="C6" s="26"/>
      <c r="D6" s="26"/>
      <c r="E6" s="26"/>
      <c r="F6" s="26"/>
    </row>
    <row r="7" spans="1:19" ht="15" customHeight="1" x14ac:dyDescent="0.35">
      <c r="A7" s="220" t="str">
        <f>+'Federal Funds Transactions'!A9:L9</f>
        <v>IMPORTANT! Please review the information in the Notes tab for further explanation of the data in this document.</v>
      </c>
      <c r="B7" s="220"/>
      <c r="C7" s="220"/>
      <c r="D7" s="220"/>
      <c r="E7" s="220"/>
      <c r="F7" s="220"/>
      <c r="G7" s="220"/>
      <c r="H7" s="220"/>
    </row>
    <row r="9" spans="1:19" ht="15.75" customHeight="1" x14ac:dyDescent="0.3">
      <c r="A9" s="218" t="s">
        <v>91</v>
      </c>
      <c r="B9" s="218"/>
      <c r="C9" s="218"/>
      <c r="D9" s="218"/>
      <c r="E9" s="218"/>
      <c r="F9" s="218"/>
      <c r="G9" s="218"/>
      <c r="M9" s="28"/>
      <c r="N9" s="28"/>
      <c r="O9" s="28"/>
      <c r="P9" s="28"/>
      <c r="Q9" s="28"/>
      <c r="R9" s="28"/>
      <c r="S9" s="28"/>
    </row>
    <row r="10" spans="1:19" ht="15.6" x14ac:dyDescent="0.3">
      <c r="A10" s="29"/>
      <c r="B10" s="29"/>
      <c r="C10" s="29"/>
      <c r="D10" s="29"/>
      <c r="E10" s="30"/>
      <c r="F10" s="30"/>
      <c r="G10" s="30"/>
      <c r="H10" s="31"/>
      <c r="I10" s="30"/>
      <c r="J10" s="30"/>
      <c r="K10" s="30"/>
      <c r="L10" s="30"/>
      <c r="M10" s="28"/>
      <c r="N10" s="28"/>
      <c r="O10" s="28"/>
      <c r="P10" s="28"/>
      <c r="Q10" s="28"/>
      <c r="R10" s="28"/>
      <c r="S10" s="28"/>
    </row>
    <row r="11" spans="1:19" x14ac:dyDescent="0.3">
      <c r="A11" s="101" t="s">
        <v>50</v>
      </c>
      <c r="B11" s="102" t="s">
        <v>51</v>
      </c>
      <c r="C11" s="102" t="s">
        <v>13</v>
      </c>
      <c r="D11" s="102" t="s">
        <v>52</v>
      </c>
      <c r="E11" s="102" t="s">
        <v>10</v>
      </c>
      <c r="F11" s="102" t="s">
        <v>44</v>
      </c>
      <c r="G11" s="102" t="s">
        <v>45</v>
      </c>
      <c r="H11" s="102" t="s">
        <v>4</v>
      </c>
      <c r="I11" s="102" t="s">
        <v>46</v>
      </c>
      <c r="J11" s="102" t="s">
        <v>5</v>
      </c>
      <c r="K11" s="102" t="s">
        <v>6</v>
      </c>
      <c r="L11" s="102" t="s">
        <v>47</v>
      </c>
      <c r="M11" s="102" t="s">
        <v>48</v>
      </c>
      <c r="N11" s="102" t="s">
        <v>49</v>
      </c>
      <c r="O11" s="102" t="s">
        <v>109</v>
      </c>
      <c r="P11" s="102" t="s">
        <v>110</v>
      </c>
      <c r="Q11" s="102" t="s">
        <v>111</v>
      </c>
      <c r="R11" s="103" t="s">
        <v>112</v>
      </c>
      <c r="S11" s="30"/>
    </row>
    <row r="12" spans="1:19" x14ac:dyDescent="0.3">
      <c r="A12" s="86" t="s">
        <v>114</v>
      </c>
      <c r="B12" s="84" t="s">
        <v>99</v>
      </c>
      <c r="C12" s="84" t="s">
        <v>115</v>
      </c>
      <c r="D12" s="84" t="s">
        <v>117</v>
      </c>
      <c r="E12" s="84">
        <v>1515000</v>
      </c>
      <c r="F12" s="84"/>
      <c r="G12" s="84"/>
      <c r="H12" s="84"/>
      <c r="I12" s="84"/>
      <c r="J12" s="84"/>
      <c r="K12" s="84">
        <v>1515000</v>
      </c>
      <c r="L12" s="84"/>
      <c r="M12" s="84"/>
      <c r="N12" s="84"/>
      <c r="O12" s="85" t="s">
        <v>108</v>
      </c>
      <c r="P12" s="85" t="s">
        <v>116</v>
      </c>
      <c r="Q12" s="85"/>
      <c r="R12" s="88" t="s">
        <v>120</v>
      </c>
      <c r="S12" s="100"/>
    </row>
    <row r="13" spans="1:19" x14ac:dyDescent="0.3">
      <c r="A13" s="87" t="s">
        <v>114</v>
      </c>
      <c r="B13" s="85" t="s">
        <v>100</v>
      </c>
      <c r="C13" s="85" t="s">
        <v>121</v>
      </c>
      <c r="D13" s="85" t="s">
        <v>118</v>
      </c>
      <c r="E13" s="85">
        <v>-220000</v>
      </c>
      <c r="F13" s="85"/>
      <c r="G13" s="85"/>
      <c r="H13" s="85">
        <v>-220000</v>
      </c>
      <c r="I13" s="85"/>
      <c r="J13" s="85"/>
      <c r="K13" s="85"/>
      <c r="L13" s="85"/>
      <c r="M13" s="85"/>
      <c r="N13" s="85"/>
      <c r="O13" s="85" t="s">
        <v>116</v>
      </c>
      <c r="P13" s="85" t="s">
        <v>113</v>
      </c>
      <c r="Q13" s="85" t="s">
        <v>122</v>
      </c>
      <c r="R13" s="88" t="s">
        <v>123</v>
      </c>
      <c r="S13" s="100"/>
    </row>
    <row r="14" spans="1:19" x14ac:dyDescent="0.3">
      <c r="A14" s="87" t="s">
        <v>114</v>
      </c>
      <c r="B14" s="85" t="s">
        <v>53</v>
      </c>
      <c r="C14" s="85" t="s">
        <v>124</v>
      </c>
      <c r="D14" s="85"/>
      <c r="E14" s="85">
        <v>-380000</v>
      </c>
      <c r="F14" s="85"/>
      <c r="G14" s="85"/>
      <c r="H14" s="85">
        <v>-380000</v>
      </c>
      <c r="I14" s="85"/>
      <c r="J14" s="85"/>
      <c r="K14" s="85"/>
      <c r="L14" s="85"/>
      <c r="M14" s="85"/>
      <c r="N14" s="85"/>
      <c r="O14" s="85" t="s">
        <v>116</v>
      </c>
      <c r="P14" s="85" t="s">
        <v>113</v>
      </c>
      <c r="Q14" s="85"/>
      <c r="R14" s="88" t="s">
        <v>125</v>
      </c>
      <c r="S14" s="100"/>
    </row>
    <row r="15" spans="1:19" x14ac:dyDescent="0.3">
      <c r="A15" s="87" t="s">
        <v>36</v>
      </c>
      <c r="B15" s="85" t="s">
        <v>100</v>
      </c>
      <c r="C15" s="85" t="s">
        <v>126</v>
      </c>
      <c r="D15" s="85" t="s">
        <v>118</v>
      </c>
      <c r="E15" s="85">
        <v>-559770</v>
      </c>
      <c r="F15" s="85"/>
      <c r="G15" s="85"/>
      <c r="H15" s="85">
        <v>-559770</v>
      </c>
      <c r="I15" s="85"/>
      <c r="J15" s="85"/>
      <c r="K15" s="85"/>
      <c r="L15" s="85"/>
      <c r="M15" s="85"/>
      <c r="N15" s="85"/>
      <c r="O15" s="85" t="s">
        <v>116</v>
      </c>
      <c r="P15" s="85" t="s">
        <v>113</v>
      </c>
      <c r="Q15" s="85" t="s">
        <v>122</v>
      </c>
      <c r="R15" s="88" t="s">
        <v>127</v>
      </c>
      <c r="S15" s="100"/>
    </row>
    <row r="16" spans="1:19" x14ac:dyDescent="0.3">
      <c r="A16" s="87" t="s">
        <v>118</v>
      </c>
      <c r="B16" s="85" t="s">
        <v>173</v>
      </c>
      <c r="C16" s="85" t="s">
        <v>174</v>
      </c>
      <c r="D16" s="85" t="s">
        <v>178</v>
      </c>
      <c r="E16" s="85">
        <v>-263878.89</v>
      </c>
      <c r="F16" s="85"/>
      <c r="G16" s="85"/>
      <c r="H16" s="85">
        <v>-263878.89</v>
      </c>
      <c r="I16" s="85"/>
      <c r="J16" s="85"/>
      <c r="K16" s="85"/>
      <c r="L16" s="85"/>
      <c r="M16" s="85"/>
      <c r="N16" s="85"/>
      <c r="O16" s="85" t="s">
        <v>116</v>
      </c>
      <c r="P16" s="85" t="s">
        <v>113</v>
      </c>
      <c r="Q16" s="85"/>
      <c r="R16" s="88" t="s">
        <v>179</v>
      </c>
      <c r="S16" s="100"/>
    </row>
    <row r="17" spans="1:19" x14ac:dyDescent="0.3">
      <c r="A17" s="89" t="s">
        <v>118</v>
      </c>
      <c r="B17" s="90" t="s">
        <v>99</v>
      </c>
      <c r="C17" s="90" t="s">
        <v>155</v>
      </c>
      <c r="D17" s="90" t="s">
        <v>117</v>
      </c>
      <c r="E17" s="90">
        <v>212090</v>
      </c>
      <c r="F17" s="90"/>
      <c r="G17" s="90"/>
      <c r="H17" s="90"/>
      <c r="I17" s="90"/>
      <c r="J17" s="90"/>
      <c r="K17" s="90">
        <v>212090</v>
      </c>
      <c r="L17" s="90"/>
      <c r="M17" s="90"/>
      <c r="N17" s="90"/>
      <c r="O17" s="90" t="s">
        <v>140</v>
      </c>
      <c r="P17" s="90" t="s">
        <v>116</v>
      </c>
      <c r="Q17" s="90"/>
      <c r="R17" s="91" t="s">
        <v>141</v>
      </c>
      <c r="S17" s="100"/>
    </row>
    <row r="18" spans="1:19" x14ac:dyDescent="0.3">
      <c r="A18" s="100" t="s">
        <v>118</v>
      </c>
      <c r="B18" s="100" t="s">
        <v>100</v>
      </c>
      <c r="C18" s="100" t="s">
        <v>156</v>
      </c>
      <c r="D18" s="100" t="s">
        <v>117</v>
      </c>
      <c r="E18" s="100">
        <v>-1515000</v>
      </c>
      <c r="F18" s="100"/>
      <c r="G18" s="100"/>
      <c r="H18" s="100"/>
      <c r="I18" s="100"/>
      <c r="J18" s="100"/>
      <c r="K18" s="100">
        <v>-1515000</v>
      </c>
      <c r="L18" s="100"/>
      <c r="M18" s="100"/>
      <c r="N18" s="100"/>
      <c r="O18" s="100" t="s">
        <v>116</v>
      </c>
      <c r="P18" s="100" t="s">
        <v>113</v>
      </c>
      <c r="Q18" s="100"/>
      <c r="R18" s="100" t="s">
        <v>157</v>
      </c>
      <c r="S18" s="100"/>
    </row>
    <row r="19" spans="1:19" x14ac:dyDescent="0.3">
      <c r="A19" s="100" t="s">
        <v>118</v>
      </c>
      <c r="B19" s="100" t="s">
        <v>100</v>
      </c>
      <c r="C19" s="100" t="s">
        <v>159</v>
      </c>
      <c r="D19" s="100" t="s">
        <v>131</v>
      </c>
      <c r="E19" s="100">
        <v>-580186</v>
      </c>
      <c r="F19" s="100"/>
      <c r="G19" s="100"/>
      <c r="H19" s="100"/>
      <c r="I19" s="100"/>
      <c r="J19" s="100"/>
      <c r="K19" s="100">
        <v>-580186</v>
      </c>
      <c r="L19" s="100"/>
      <c r="M19" s="100"/>
      <c r="N19" s="100"/>
      <c r="O19" s="100" t="s">
        <v>116</v>
      </c>
      <c r="P19" s="100" t="s">
        <v>113</v>
      </c>
      <c r="Q19" s="100" t="s">
        <v>160</v>
      </c>
      <c r="R19" s="100" t="s">
        <v>161</v>
      </c>
      <c r="S19" s="100"/>
    </row>
    <row r="20" spans="1:19" x14ac:dyDescent="0.3">
      <c r="A20" s="100" t="s">
        <v>118</v>
      </c>
      <c r="B20" s="100" t="s">
        <v>100</v>
      </c>
      <c r="C20" s="100" t="s">
        <v>162</v>
      </c>
      <c r="D20" s="100" t="s">
        <v>131</v>
      </c>
      <c r="E20" s="100">
        <v>-127122</v>
      </c>
      <c r="F20" s="100"/>
      <c r="G20" s="100"/>
      <c r="H20" s="100">
        <v>-127122</v>
      </c>
      <c r="I20" s="100"/>
      <c r="J20" s="100"/>
      <c r="K20" s="100"/>
      <c r="L20" s="100"/>
      <c r="M20" s="100"/>
      <c r="N20" s="100"/>
      <c r="O20" s="100" t="s">
        <v>116</v>
      </c>
      <c r="P20" s="100" t="s">
        <v>163</v>
      </c>
      <c r="Q20" s="100" t="s">
        <v>164</v>
      </c>
      <c r="R20" s="100" t="s">
        <v>165</v>
      </c>
      <c r="S20" s="100"/>
    </row>
    <row r="21" spans="1:19" x14ac:dyDescent="0.3">
      <c r="A21" s="100" t="s">
        <v>118</v>
      </c>
      <c r="B21" s="100" t="s">
        <v>100</v>
      </c>
      <c r="C21" s="100" t="s">
        <v>170</v>
      </c>
      <c r="D21" s="100" t="s">
        <v>131</v>
      </c>
      <c r="E21" s="100">
        <v>-31179</v>
      </c>
      <c r="F21" s="100"/>
      <c r="G21" s="100"/>
      <c r="H21" s="100"/>
      <c r="I21" s="100"/>
      <c r="J21" s="100"/>
      <c r="K21" s="100">
        <v>-31179</v>
      </c>
      <c r="L21" s="100"/>
      <c r="M21" s="100"/>
      <c r="N21" s="100"/>
      <c r="O21" s="100" t="s">
        <v>116</v>
      </c>
      <c r="P21" s="100" t="s">
        <v>113</v>
      </c>
      <c r="Q21" s="100" t="s">
        <v>171</v>
      </c>
      <c r="R21" s="100" t="s">
        <v>172</v>
      </c>
      <c r="S21" s="100"/>
    </row>
    <row r="22" spans="1:19" x14ac:dyDescent="0.3">
      <c r="A22" s="100" t="s">
        <v>118</v>
      </c>
      <c r="B22" s="100" t="s">
        <v>101</v>
      </c>
      <c r="C22" s="100" t="s">
        <v>126</v>
      </c>
      <c r="D22" s="100" t="s">
        <v>118</v>
      </c>
      <c r="E22" s="100">
        <v>559770</v>
      </c>
      <c r="F22" s="100"/>
      <c r="G22" s="100"/>
      <c r="H22" s="100">
        <v>559770</v>
      </c>
      <c r="I22" s="100"/>
      <c r="J22" s="100"/>
      <c r="K22" s="100"/>
      <c r="L22" s="100"/>
      <c r="M22" s="100"/>
      <c r="N22" s="100"/>
      <c r="O22" s="100" t="s">
        <v>113</v>
      </c>
      <c r="P22" s="100" t="s">
        <v>116</v>
      </c>
      <c r="Q22" s="100" t="s">
        <v>122</v>
      </c>
      <c r="R22" s="100" t="s">
        <v>128</v>
      </c>
      <c r="S22" s="100"/>
    </row>
    <row r="23" spans="1:19" x14ac:dyDescent="0.3">
      <c r="A23" s="100" t="s">
        <v>118</v>
      </c>
      <c r="B23" s="100" t="s">
        <v>101</v>
      </c>
      <c r="C23" s="100" t="s">
        <v>121</v>
      </c>
      <c r="D23" s="100" t="s">
        <v>118</v>
      </c>
      <c r="E23" s="100">
        <v>220000</v>
      </c>
      <c r="F23" s="100"/>
      <c r="G23" s="100"/>
      <c r="H23" s="100">
        <v>220000</v>
      </c>
      <c r="I23" s="100"/>
      <c r="J23" s="100"/>
      <c r="K23" s="100"/>
      <c r="L23" s="100"/>
      <c r="M23" s="100"/>
      <c r="N23" s="100"/>
      <c r="O23" s="100" t="s">
        <v>113</v>
      </c>
      <c r="P23" s="100" t="s">
        <v>116</v>
      </c>
      <c r="Q23" s="100" t="s">
        <v>122</v>
      </c>
      <c r="R23" s="100" t="s">
        <v>129</v>
      </c>
      <c r="S23" s="100"/>
    </row>
    <row r="24" spans="1:19" x14ac:dyDescent="0.3">
      <c r="A24" s="120" t="s">
        <v>118</v>
      </c>
      <c r="B24" s="120" t="s">
        <v>103</v>
      </c>
      <c r="C24" s="120" t="s">
        <v>142</v>
      </c>
      <c r="D24" s="120"/>
      <c r="E24" s="120">
        <v>519767</v>
      </c>
      <c r="F24" s="120"/>
      <c r="G24" s="120"/>
      <c r="H24" s="120">
        <v>519767</v>
      </c>
      <c r="I24" s="120"/>
      <c r="J24" s="120"/>
      <c r="K24" s="120"/>
      <c r="L24" s="120"/>
      <c r="M24" s="120"/>
      <c r="N24" s="120"/>
      <c r="O24" s="120" t="s">
        <v>137</v>
      </c>
      <c r="P24" s="120" t="s">
        <v>116</v>
      </c>
      <c r="Q24" s="120"/>
      <c r="R24" s="120" t="s">
        <v>143</v>
      </c>
      <c r="S24" s="100"/>
    </row>
    <row r="25" spans="1:19" x14ac:dyDescent="0.3">
      <c r="A25" s="120" t="s">
        <v>118</v>
      </c>
      <c r="B25" s="120" t="s">
        <v>103</v>
      </c>
      <c r="C25" s="120" t="s">
        <v>136</v>
      </c>
      <c r="D25" s="120" t="s">
        <v>138</v>
      </c>
      <c r="E25" s="120">
        <v>302770</v>
      </c>
      <c r="F25" s="120"/>
      <c r="G25" s="120"/>
      <c r="H25" s="120"/>
      <c r="I25" s="120"/>
      <c r="J25" s="120"/>
      <c r="K25" s="120">
        <v>302770</v>
      </c>
      <c r="L25" s="120"/>
      <c r="M25" s="120"/>
      <c r="N25" s="120"/>
      <c r="O25" s="120" t="s">
        <v>137</v>
      </c>
      <c r="P25" s="120" t="s">
        <v>116</v>
      </c>
      <c r="Q25" s="120"/>
      <c r="R25" s="120" t="s">
        <v>139</v>
      </c>
      <c r="S25" s="100"/>
    </row>
    <row r="26" spans="1:19" x14ac:dyDescent="0.3">
      <c r="A26" s="120" t="s">
        <v>117</v>
      </c>
      <c r="B26" s="120" t="s">
        <v>99</v>
      </c>
      <c r="C26" s="120" t="s">
        <v>180</v>
      </c>
      <c r="D26" s="120" t="s">
        <v>150</v>
      </c>
      <c r="E26" s="120">
        <v>170964</v>
      </c>
      <c r="F26" s="120"/>
      <c r="G26" s="120"/>
      <c r="H26" s="120">
        <v>170964</v>
      </c>
      <c r="I26" s="120"/>
      <c r="J26" s="120"/>
      <c r="K26" s="120"/>
      <c r="L26" s="120"/>
      <c r="M26" s="120"/>
      <c r="N26" s="120"/>
      <c r="O26" s="120" t="s">
        <v>181</v>
      </c>
      <c r="P26" s="120" t="s">
        <v>116</v>
      </c>
      <c r="Q26" s="120"/>
      <c r="R26" s="120" t="s">
        <v>182</v>
      </c>
      <c r="S26" s="100"/>
    </row>
    <row r="27" spans="1:19" x14ac:dyDescent="0.3">
      <c r="A27" s="120" t="s">
        <v>117</v>
      </c>
      <c r="B27" s="120" t="s">
        <v>99</v>
      </c>
      <c r="C27" s="120" t="s">
        <v>183</v>
      </c>
      <c r="D27" s="120" t="s">
        <v>150</v>
      </c>
      <c r="E27" s="120">
        <v>165341</v>
      </c>
      <c r="F27" s="120"/>
      <c r="G27" s="120"/>
      <c r="H27" s="120">
        <v>165341</v>
      </c>
      <c r="I27" s="120"/>
      <c r="J27" s="120"/>
      <c r="K27" s="120"/>
      <c r="L27" s="120"/>
      <c r="M27" s="120"/>
      <c r="N27" s="120"/>
      <c r="O27" s="120" t="s">
        <v>137</v>
      </c>
      <c r="P27" s="120" t="s">
        <v>116</v>
      </c>
      <c r="Q27" s="120"/>
      <c r="R27" s="120" t="s">
        <v>184</v>
      </c>
      <c r="S27" s="100"/>
    </row>
    <row r="28" spans="1:19" x14ac:dyDescent="0.3">
      <c r="A28" s="120" t="s">
        <v>117</v>
      </c>
      <c r="B28" s="120" t="s">
        <v>100</v>
      </c>
      <c r="C28" s="120" t="s">
        <v>130</v>
      </c>
      <c r="D28" s="120" t="s">
        <v>131</v>
      </c>
      <c r="E28" s="120">
        <v>-600000</v>
      </c>
      <c r="F28" s="120"/>
      <c r="G28" s="120"/>
      <c r="H28" s="120">
        <v>-600000</v>
      </c>
      <c r="I28" s="120"/>
      <c r="J28" s="120"/>
      <c r="K28" s="120"/>
      <c r="L28" s="120"/>
      <c r="M28" s="120"/>
      <c r="N28" s="120"/>
      <c r="O28" s="120" t="s">
        <v>116</v>
      </c>
      <c r="P28" s="120" t="s">
        <v>113</v>
      </c>
      <c r="Q28" s="120" t="s">
        <v>132</v>
      </c>
      <c r="R28" s="120" t="s">
        <v>123</v>
      </c>
      <c r="S28" s="100"/>
    </row>
    <row r="29" spans="1:19" x14ac:dyDescent="0.3">
      <c r="A29" s="120" t="s">
        <v>117</v>
      </c>
      <c r="B29" s="120" t="s">
        <v>100</v>
      </c>
      <c r="C29" s="120" t="s">
        <v>158</v>
      </c>
      <c r="D29" s="120" t="s">
        <v>131</v>
      </c>
      <c r="E29" s="120">
        <v>-523560</v>
      </c>
      <c r="F29" s="120"/>
      <c r="G29" s="120"/>
      <c r="H29" s="120"/>
      <c r="I29" s="120"/>
      <c r="J29" s="120"/>
      <c r="K29" s="120">
        <v>-523560</v>
      </c>
      <c r="L29" s="120"/>
      <c r="M29" s="120"/>
      <c r="N29" s="120"/>
      <c r="O29" s="120" t="s">
        <v>116</v>
      </c>
      <c r="P29" s="120" t="s">
        <v>140</v>
      </c>
      <c r="Q29" s="120" t="s">
        <v>145</v>
      </c>
      <c r="R29" s="120" t="s">
        <v>146</v>
      </c>
      <c r="S29" s="100"/>
    </row>
    <row r="30" spans="1:19" x14ac:dyDescent="0.3">
      <c r="A30" s="120" t="s">
        <v>117</v>
      </c>
      <c r="B30" s="120" t="s">
        <v>100</v>
      </c>
      <c r="C30" s="120" t="s">
        <v>189</v>
      </c>
      <c r="D30" s="120" t="s">
        <v>131</v>
      </c>
      <c r="E30" s="120">
        <v>-35247.72</v>
      </c>
      <c r="F30" s="120"/>
      <c r="G30" s="120"/>
      <c r="H30" s="120">
        <v>-35247.72</v>
      </c>
      <c r="I30" s="120"/>
      <c r="J30" s="120"/>
      <c r="K30" s="120"/>
      <c r="L30" s="120"/>
      <c r="M30" s="120"/>
      <c r="N30" s="120"/>
      <c r="O30" s="120" t="s">
        <v>116</v>
      </c>
      <c r="P30" s="120" t="s">
        <v>113</v>
      </c>
      <c r="Q30" s="120" t="s">
        <v>190</v>
      </c>
      <c r="R30" s="120" t="s">
        <v>191</v>
      </c>
    </row>
    <row r="31" spans="1:19" x14ac:dyDescent="0.3">
      <c r="A31" s="120" t="s">
        <v>117</v>
      </c>
      <c r="B31" s="120" t="s">
        <v>101</v>
      </c>
      <c r="C31" s="120" t="s">
        <v>156</v>
      </c>
      <c r="D31" s="120" t="s">
        <v>117</v>
      </c>
      <c r="E31" s="120">
        <v>1515000</v>
      </c>
      <c r="F31" s="120"/>
      <c r="G31" s="120"/>
      <c r="H31" s="120"/>
      <c r="I31" s="120"/>
      <c r="J31" s="120"/>
      <c r="K31" s="120">
        <v>1515000</v>
      </c>
      <c r="L31" s="120"/>
      <c r="M31" s="120"/>
      <c r="N31" s="120"/>
      <c r="O31" s="120" t="s">
        <v>113</v>
      </c>
      <c r="P31" s="120" t="s">
        <v>116</v>
      </c>
      <c r="Q31" s="120"/>
      <c r="R31" s="120" t="s">
        <v>157</v>
      </c>
    </row>
    <row r="32" spans="1:19" x14ac:dyDescent="0.3">
      <c r="A32" s="120" t="s">
        <v>117</v>
      </c>
      <c r="B32" s="120" t="s">
        <v>102</v>
      </c>
      <c r="C32" s="120" t="s">
        <v>115</v>
      </c>
      <c r="D32" s="120"/>
      <c r="E32" s="120">
        <v>-1515000</v>
      </c>
      <c r="F32" s="120"/>
      <c r="G32" s="120"/>
      <c r="H32" s="120"/>
      <c r="I32" s="120"/>
      <c r="J32" s="120"/>
      <c r="K32" s="120">
        <v>-1515000</v>
      </c>
      <c r="L32" s="120"/>
      <c r="M32" s="120"/>
      <c r="N32" s="120"/>
      <c r="O32" s="120" t="s">
        <v>116</v>
      </c>
      <c r="P32" s="120" t="s">
        <v>108</v>
      </c>
      <c r="Q32" s="120"/>
      <c r="R32" s="120" t="s">
        <v>133</v>
      </c>
    </row>
    <row r="33" spans="1:19" x14ac:dyDescent="0.3">
      <c r="A33" s="120" t="s">
        <v>117</v>
      </c>
      <c r="B33" s="120" t="s">
        <v>102</v>
      </c>
      <c r="C33" s="120" t="s">
        <v>155</v>
      </c>
      <c r="D33" s="120" t="s">
        <v>117</v>
      </c>
      <c r="E33" s="120">
        <v>-212090</v>
      </c>
      <c r="F33" s="120"/>
      <c r="G33" s="120"/>
      <c r="H33" s="120"/>
      <c r="I33" s="120"/>
      <c r="J33" s="120"/>
      <c r="K33" s="120">
        <v>-212090</v>
      </c>
      <c r="L33" s="120"/>
      <c r="M33" s="120"/>
      <c r="N33" s="120"/>
      <c r="O33" s="120" t="s">
        <v>116</v>
      </c>
      <c r="P33" s="120" t="s">
        <v>140</v>
      </c>
      <c r="Q33" s="120"/>
      <c r="R33" s="120" t="s">
        <v>141</v>
      </c>
    </row>
    <row r="34" spans="1:19" x14ac:dyDescent="0.3">
      <c r="A34" s="120" t="s">
        <v>117</v>
      </c>
      <c r="B34" s="120" t="s">
        <v>103</v>
      </c>
      <c r="C34" s="120" t="s">
        <v>136</v>
      </c>
      <c r="D34" s="120" t="s">
        <v>138</v>
      </c>
      <c r="E34" s="120">
        <v>302770</v>
      </c>
      <c r="F34" s="120"/>
      <c r="G34" s="120"/>
      <c r="H34" s="120"/>
      <c r="I34" s="120"/>
      <c r="J34" s="120"/>
      <c r="K34" s="120">
        <v>302770</v>
      </c>
      <c r="L34" s="120"/>
      <c r="M34" s="120"/>
      <c r="N34" s="120"/>
      <c r="O34" s="120" t="s">
        <v>137</v>
      </c>
      <c r="P34" s="120" t="s">
        <v>116</v>
      </c>
      <c r="Q34" s="120"/>
      <c r="R34" s="120" t="s">
        <v>144</v>
      </c>
    </row>
    <row r="35" spans="1:19" x14ac:dyDescent="0.3">
      <c r="A35" s="120" t="s">
        <v>131</v>
      </c>
      <c r="B35" s="120" t="s">
        <v>99</v>
      </c>
      <c r="C35" s="120" t="s">
        <v>192</v>
      </c>
      <c r="D35" s="120" t="s">
        <v>194</v>
      </c>
      <c r="E35" s="120">
        <v>364793</v>
      </c>
      <c r="F35" s="120"/>
      <c r="G35" s="120"/>
      <c r="H35" s="120">
        <v>364793</v>
      </c>
      <c r="I35" s="120"/>
      <c r="J35" s="120"/>
      <c r="K35" s="120"/>
      <c r="L35" s="120"/>
      <c r="M35" s="120"/>
      <c r="N35" s="120"/>
      <c r="O35" s="120" t="s">
        <v>113</v>
      </c>
      <c r="P35" s="120" t="s">
        <v>116</v>
      </c>
      <c r="Q35" s="120" t="s">
        <v>190</v>
      </c>
      <c r="R35" s="120" t="s">
        <v>193</v>
      </c>
      <c r="S35" s="9"/>
    </row>
    <row r="36" spans="1:19" x14ac:dyDescent="0.3">
      <c r="A36" s="120" t="s">
        <v>131</v>
      </c>
      <c r="B36" s="120" t="s">
        <v>99</v>
      </c>
      <c r="C36" s="120" t="s">
        <v>197</v>
      </c>
      <c r="D36" s="120" t="s">
        <v>148</v>
      </c>
      <c r="E36" s="120">
        <v>340419</v>
      </c>
      <c r="F36" s="120"/>
      <c r="G36" s="120"/>
      <c r="H36" s="120"/>
      <c r="I36" s="120"/>
      <c r="J36" s="120"/>
      <c r="K36" s="120">
        <v>340419</v>
      </c>
      <c r="L36" s="120"/>
      <c r="M36" s="120"/>
      <c r="N36" s="120"/>
      <c r="O36" s="120" t="s">
        <v>113</v>
      </c>
      <c r="P36" s="120" t="s">
        <v>116</v>
      </c>
      <c r="Q36" s="120" t="s">
        <v>188</v>
      </c>
      <c r="R36" s="120" t="s">
        <v>198</v>
      </c>
      <c r="S36" s="9"/>
    </row>
    <row r="37" spans="1:19" x14ac:dyDescent="0.3">
      <c r="A37" s="120" t="s">
        <v>131</v>
      </c>
      <c r="B37" s="120" t="s">
        <v>100</v>
      </c>
      <c r="C37" s="120" t="s">
        <v>201</v>
      </c>
      <c r="D37" s="120" t="s">
        <v>138</v>
      </c>
      <c r="E37" s="120">
        <v>-344098.48</v>
      </c>
      <c r="F37" s="120"/>
      <c r="G37" s="120"/>
      <c r="H37" s="120">
        <v>-42536.67</v>
      </c>
      <c r="I37" s="120"/>
      <c r="J37" s="120"/>
      <c r="K37" s="120">
        <v>-301561.81</v>
      </c>
      <c r="L37" s="120"/>
      <c r="M37" s="120"/>
      <c r="N37" s="120"/>
      <c r="O37" s="120" t="s">
        <v>116</v>
      </c>
      <c r="P37" s="120" t="s">
        <v>113</v>
      </c>
      <c r="Q37" s="120"/>
      <c r="R37" s="120" t="s">
        <v>202</v>
      </c>
      <c r="S37" s="9"/>
    </row>
    <row r="38" spans="1:19" x14ac:dyDescent="0.3">
      <c r="A38" s="120" t="s">
        <v>131</v>
      </c>
      <c r="B38" s="120" t="s">
        <v>101</v>
      </c>
      <c r="C38" s="120" t="s">
        <v>130</v>
      </c>
      <c r="D38" s="120" t="s">
        <v>131</v>
      </c>
      <c r="E38" s="120">
        <v>600000</v>
      </c>
      <c r="F38" s="120"/>
      <c r="G38" s="120"/>
      <c r="H38" s="120">
        <v>600000</v>
      </c>
      <c r="I38" s="120"/>
      <c r="J38" s="120"/>
      <c r="K38" s="120"/>
      <c r="L38" s="120"/>
      <c r="M38" s="120"/>
      <c r="N38" s="120"/>
      <c r="O38" s="120" t="s">
        <v>113</v>
      </c>
      <c r="P38" s="120" t="s">
        <v>116</v>
      </c>
      <c r="Q38" s="120" t="s">
        <v>132</v>
      </c>
      <c r="R38" s="120" t="s">
        <v>134</v>
      </c>
      <c r="S38" s="9"/>
    </row>
    <row r="39" spans="1:19" x14ac:dyDescent="0.3">
      <c r="A39" s="120" t="s">
        <v>131</v>
      </c>
      <c r="B39" s="120" t="s">
        <v>101</v>
      </c>
      <c r="C39" s="120" t="s">
        <v>158</v>
      </c>
      <c r="D39" s="120" t="s">
        <v>131</v>
      </c>
      <c r="E39" s="120">
        <v>523560</v>
      </c>
      <c r="F39" s="120"/>
      <c r="G39" s="120"/>
      <c r="H39" s="120"/>
      <c r="I39" s="120"/>
      <c r="J39" s="120"/>
      <c r="K39" s="120">
        <v>523560</v>
      </c>
      <c r="L39" s="120"/>
      <c r="M39" s="120"/>
      <c r="N39" s="120"/>
      <c r="O39" s="120" t="s">
        <v>140</v>
      </c>
      <c r="P39" s="120" t="s">
        <v>116</v>
      </c>
      <c r="Q39" s="120" t="s">
        <v>145</v>
      </c>
      <c r="R39" s="120" t="s">
        <v>146</v>
      </c>
      <c r="S39" s="9"/>
    </row>
    <row r="40" spans="1:19" x14ac:dyDescent="0.3">
      <c r="A40" s="120" t="s">
        <v>131</v>
      </c>
      <c r="B40" s="120" t="s">
        <v>101</v>
      </c>
      <c r="C40" s="120" t="s">
        <v>159</v>
      </c>
      <c r="D40" s="120"/>
      <c r="E40" s="120">
        <v>580186</v>
      </c>
      <c r="F40" s="120"/>
      <c r="G40" s="120"/>
      <c r="H40" s="120"/>
      <c r="I40" s="120"/>
      <c r="J40" s="120"/>
      <c r="K40" s="120">
        <v>580186</v>
      </c>
      <c r="L40" s="120"/>
      <c r="M40" s="120"/>
      <c r="N40" s="120"/>
      <c r="O40" s="120" t="s">
        <v>113</v>
      </c>
      <c r="P40" s="120" t="s">
        <v>116</v>
      </c>
      <c r="Q40" s="120" t="s">
        <v>160</v>
      </c>
      <c r="R40" s="120" t="s">
        <v>166</v>
      </c>
      <c r="S40" s="9"/>
    </row>
    <row r="41" spans="1:19" x14ac:dyDescent="0.3">
      <c r="A41" s="120" t="s">
        <v>131</v>
      </c>
      <c r="B41" s="120" t="s">
        <v>101</v>
      </c>
      <c r="C41" s="120" t="s">
        <v>162</v>
      </c>
      <c r="D41" s="120"/>
      <c r="E41" s="120">
        <v>127122</v>
      </c>
      <c r="F41" s="120"/>
      <c r="G41" s="120"/>
      <c r="H41" s="120">
        <v>127122</v>
      </c>
      <c r="I41" s="120"/>
      <c r="J41" s="120"/>
      <c r="K41" s="120"/>
      <c r="L41" s="120"/>
      <c r="M41" s="120"/>
      <c r="N41" s="120"/>
      <c r="O41" s="120" t="s">
        <v>163</v>
      </c>
      <c r="P41" s="120" t="s">
        <v>116</v>
      </c>
      <c r="Q41" s="120" t="s">
        <v>164</v>
      </c>
      <c r="R41" s="120" t="s">
        <v>167</v>
      </c>
      <c r="S41" s="9"/>
    </row>
    <row r="42" spans="1:19" x14ac:dyDescent="0.3">
      <c r="A42" s="120" t="s">
        <v>131</v>
      </c>
      <c r="B42" s="120" t="s">
        <v>101</v>
      </c>
      <c r="C42" s="120" t="s">
        <v>170</v>
      </c>
      <c r="D42" s="120"/>
      <c r="E42" s="120">
        <v>31179</v>
      </c>
      <c r="F42" s="120"/>
      <c r="G42" s="120"/>
      <c r="H42" s="120"/>
      <c r="I42" s="120"/>
      <c r="J42" s="120"/>
      <c r="K42" s="120">
        <v>31179</v>
      </c>
      <c r="L42" s="120"/>
      <c r="M42" s="120"/>
      <c r="N42" s="120"/>
      <c r="O42" s="120" t="s">
        <v>113</v>
      </c>
      <c r="P42" s="120" t="s">
        <v>116</v>
      </c>
      <c r="Q42" s="120" t="s">
        <v>171</v>
      </c>
      <c r="R42" s="120" t="s">
        <v>172</v>
      </c>
    </row>
    <row r="43" spans="1:19" x14ac:dyDescent="0.3">
      <c r="A43" s="120" t="s">
        <v>131</v>
      </c>
      <c r="B43" s="120" t="s">
        <v>101</v>
      </c>
      <c r="C43" s="120" t="s">
        <v>189</v>
      </c>
      <c r="D43" s="120" t="s">
        <v>131</v>
      </c>
      <c r="E43" s="120">
        <v>35247.72</v>
      </c>
      <c r="F43" s="120"/>
      <c r="G43" s="120"/>
      <c r="H43" s="120">
        <v>35247.72</v>
      </c>
      <c r="I43" s="120"/>
      <c r="J43" s="120"/>
      <c r="K43" s="120"/>
      <c r="L43" s="120"/>
      <c r="M43" s="120"/>
      <c r="N43" s="120"/>
      <c r="O43" s="120" t="s">
        <v>113</v>
      </c>
      <c r="P43" s="120" t="s">
        <v>116</v>
      </c>
      <c r="Q43" s="120" t="s">
        <v>190</v>
      </c>
      <c r="R43" s="120" t="s">
        <v>191</v>
      </c>
    </row>
    <row r="44" spans="1:19" x14ac:dyDescent="0.3">
      <c r="A44" s="24" t="s">
        <v>131</v>
      </c>
      <c r="B44" s="24" t="s">
        <v>103</v>
      </c>
      <c r="C44" s="24" t="s">
        <v>136</v>
      </c>
      <c r="D44" s="24" t="s">
        <v>138</v>
      </c>
      <c r="E44" s="24">
        <v>302770</v>
      </c>
      <c r="H44" s="24"/>
      <c r="K44" s="24">
        <v>302770</v>
      </c>
      <c r="O44" s="24" t="s">
        <v>137</v>
      </c>
      <c r="P44" s="24" t="s">
        <v>116</v>
      </c>
      <c r="R44" s="24" t="s">
        <v>147</v>
      </c>
    </row>
    <row r="45" spans="1:19" x14ac:dyDescent="0.3">
      <c r="A45" s="24" t="s">
        <v>148</v>
      </c>
      <c r="B45" s="24" t="s">
        <v>100</v>
      </c>
      <c r="C45" s="24" t="s">
        <v>255</v>
      </c>
      <c r="D45" s="24" t="s">
        <v>150</v>
      </c>
      <c r="E45" s="24">
        <v>-252000</v>
      </c>
      <c r="H45" s="24"/>
      <c r="K45" s="24">
        <v>-252000</v>
      </c>
      <c r="O45" s="24" t="s">
        <v>116</v>
      </c>
      <c r="P45" s="24" t="s">
        <v>113</v>
      </c>
      <c r="Q45" s="24" t="s">
        <v>258</v>
      </c>
      <c r="R45" s="24" t="s">
        <v>259</v>
      </c>
    </row>
    <row r="46" spans="1:19" x14ac:dyDescent="0.3">
      <c r="A46" s="142" t="s">
        <v>148</v>
      </c>
      <c r="B46" s="142" t="s">
        <v>100</v>
      </c>
      <c r="C46" s="142" t="s">
        <v>255</v>
      </c>
      <c r="D46" s="142" t="s">
        <v>150</v>
      </c>
      <c r="E46" s="142">
        <v>-150000</v>
      </c>
      <c r="F46" s="142"/>
      <c r="G46" s="142"/>
      <c r="H46" s="142">
        <v>-150000</v>
      </c>
      <c r="I46" s="142"/>
      <c r="J46" s="142"/>
      <c r="K46" s="142"/>
      <c r="L46" s="142"/>
      <c r="M46" s="142"/>
      <c r="N46" s="142"/>
      <c r="O46" s="142" t="s">
        <v>116</v>
      </c>
      <c r="P46" s="142" t="s">
        <v>113</v>
      </c>
      <c r="Q46" s="142" t="s">
        <v>256</v>
      </c>
      <c r="R46" s="142" t="s">
        <v>191</v>
      </c>
    </row>
    <row r="47" spans="1:19" x14ac:dyDescent="0.3">
      <c r="A47" s="142" t="s">
        <v>148</v>
      </c>
      <c r="B47" s="142" t="s">
        <v>100</v>
      </c>
      <c r="C47" s="142" t="s">
        <v>255</v>
      </c>
      <c r="D47" s="142" t="s">
        <v>150</v>
      </c>
      <c r="E47" s="142">
        <v>-165000</v>
      </c>
      <c r="F47" s="142"/>
      <c r="G47" s="142"/>
      <c r="H47" s="142">
        <v>-165000</v>
      </c>
      <c r="I47" s="142"/>
      <c r="J47" s="142"/>
      <c r="K47" s="142"/>
      <c r="L47" s="142"/>
      <c r="M47" s="142"/>
      <c r="N47" s="142"/>
      <c r="O47" s="142" t="s">
        <v>116</v>
      </c>
      <c r="P47" s="142" t="s">
        <v>113</v>
      </c>
      <c r="Q47" s="142" t="s">
        <v>257</v>
      </c>
      <c r="R47" s="142" t="s">
        <v>191</v>
      </c>
    </row>
    <row r="48" spans="1:19" x14ac:dyDescent="0.3">
      <c r="A48" s="142" t="s">
        <v>148</v>
      </c>
      <c r="B48" s="142" t="s">
        <v>100</v>
      </c>
      <c r="C48" s="142" t="s">
        <v>255</v>
      </c>
      <c r="D48" s="142" t="s">
        <v>138</v>
      </c>
      <c r="E48" s="142">
        <v>-295160</v>
      </c>
      <c r="F48" s="142"/>
      <c r="G48" s="142"/>
      <c r="H48" s="142"/>
      <c r="I48" s="142"/>
      <c r="J48" s="142"/>
      <c r="K48" s="142">
        <v>-295160</v>
      </c>
      <c r="L48" s="142"/>
      <c r="M48" s="142"/>
      <c r="N48" s="142"/>
      <c r="O48" s="142" t="s">
        <v>116</v>
      </c>
      <c r="P48" s="142" t="s">
        <v>113</v>
      </c>
      <c r="Q48" s="142" t="s">
        <v>258</v>
      </c>
      <c r="R48" s="142" t="s">
        <v>259</v>
      </c>
    </row>
    <row r="49" spans="1:18" x14ac:dyDescent="0.3">
      <c r="A49" s="142" t="s">
        <v>148</v>
      </c>
      <c r="B49" s="142" t="s">
        <v>102</v>
      </c>
      <c r="C49" s="142" t="s">
        <v>192</v>
      </c>
      <c r="D49" s="142" t="s">
        <v>194</v>
      </c>
      <c r="E49" s="142">
        <v>-198252</v>
      </c>
      <c r="F49" s="142"/>
      <c r="G49" s="142"/>
      <c r="H49" s="142"/>
      <c r="I49" s="142"/>
      <c r="J49" s="142"/>
      <c r="K49" s="142">
        <v>-198252</v>
      </c>
      <c r="L49" s="142"/>
      <c r="M49" s="142"/>
      <c r="N49" s="142"/>
      <c r="O49" s="142" t="s">
        <v>116</v>
      </c>
      <c r="P49" s="142" t="s">
        <v>113</v>
      </c>
      <c r="Q49" s="142" t="s">
        <v>190</v>
      </c>
      <c r="R49" s="142" t="s">
        <v>193</v>
      </c>
    </row>
    <row r="50" spans="1:18" x14ac:dyDescent="0.3">
      <c r="A50" s="142" t="s">
        <v>148</v>
      </c>
      <c r="B50" s="142" t="s">
        <v>102</v>
      </c>
      <c r="C50" s="142" t="s">
        <v>197</v>
      </c>
      <c r="D50" s="142" t="s">
        <v>148</v>
      </c>
      <c r="E50" s="142">
        <v>-340419</v>
      </c>
      <c r="F50" s="142"/>
      <c r="G50" s="142"/>
      <c r="H50" s="142"/>
      <c r="I50" s="142"/>
      <c r="J50" s="142"/>
      <c r="K50" s="142">
        <v>-340419</v>
      </c>
      <c r="L50" s="142"/>
      <c r="M50" s="142"/>
      <c r="N50" s="142"/>
      <c r="O50" s="142" t="s">
        <v>116</v>
      </c>
      <c r="P50" s="142" t="s">
        <v>113</v>
      </c>
      <c r="Q50" s="142" t="s">
        <v>188</v>
      </c>
      <c r="R50" s="142" t="s">
        <v>198</v>
      </c>
    </row>
    <row r="51" spans="1:18" x14ac:dyDescent="0.3">
      <c r="A51" s="24" t="s">
        <v>148</v>
      </c>
      <c r="B51" s="24" t="s">
        <v>103</v>
      </c>
      <c r="C51" s="24" t="s">
        <v>136</v>
      </c>
      <c r="D51" s="24" t="s">
        <v>138</v>
      </c>
      <c r="E51" s="24">
        <v>302770</v>
      </c>
      <c r="H51" s="24"/>
      <c r="K51" s="24">
        <v>302770</v>
      </c>
      <c r="O51" s="24" t="s">
        <v>137</v>
      </c>
      <c r="P51" s="24" t="s">
        <v>116</v>
      </c>
      <c r="R51" s="24" t="s">
        <v>149</v>
      </c>
    </row>
    <row r="52" spans="1:18" x14ac:dyDescent="0.3">
      <c r="A52" s="24" t="s">
        <v>150</v>
      </c>
      <c r="B52" s="24" t="s">
        <v>101</v>
      </c>
      <c r="C52" s="24" t="s">
        <v>255</v>
      </c>
      <c r="D52" s="24" t="s">
        <v>150</v>
      </c>
      <c r="E52" s="24">
        <v>252000</v>
      </c>
      <c r="H52" s="24"/>
      <c r="K52" s="24">
        <v>252000</v>
      </c>
      <c r="O52" s="24" t="s">
        <v>113</v>
      </c>
      <c r="P52" s="24" t="s">
        <v>116</v>
      </c>
      <c r="Q52" s="24" t="s">
        <v>258</v>
      </c>
      <c r="R52" s="24" t="s">
        <v>259</v>
      </c>
    </row>
    <row r="53" spans="1:18" x14ac:dyDescent="0.3">
      <c r="A53" s="24" t="s">
        <v>150</v>
      </c>
      <c r="B53" s="24" t="s">
        <v>101</v>
      </c>
      <c r="C53" s="24" t="s">
        <v>255</v>
      </c>
      <c r="D53" s="24" t="s">
        <v>150</v>
      </c>
      <c r="E53" s="24">
        <v>150000</v>
      </c>
      <c r="H53" s="24">
        <v>150000</v>
      </c>
      <c r="O53" s="24" t="s">
        <v>113</v>
      </c>
      <c r="P53" s="24" t="s">
        <v>116</v>
      </c>
      <c r="Q53" s="24" t="s">
        <v>256</v>
      </c>
      <c r="R53" s="24" t="s">
        <v>191</v>
      </c>
    </row>
    <row r="54" spans="1:18" x14ac:dyDescent="0.3">
      <c r="A54" s="24" t="s">
        <v>150</v>
      </c>
      <c r="B54" s="24" t="s">
        <v>101</v>
      </c>
      <c r="C54" s="24" t="s">
        <v>255</v>
      </c>
      <c r="D54" s="24" t="s">
        <v>150</v>
      </c>
      <c r="E54" s="24">
        <v>165000</v>
      </c>
      <c r="H54" s="24">
        <v>165000</v>
      </c>
      <c r="O54" s="24" t="s">
        <v>113</v>
      </c>
      <c r="P54" s="24" t="s">
        <v>116</v>
      </c>
      <c r="Q54" s="24" t="s">
        <v>257</v>
      </c>
      <c r="R54" s="24" t="s">
        <v>191</v>
      </c>
    </row>
    <row r="55" spans="1:18" x14ac:dyDescent="0.3">
      <c r="A55" s="24" t="s">
        <v>150</v>
      </c>
      <c r="B55" s="24" t="s">
        <v>102</v>
      </c>
      <c r="C55" s="24" t="s">
        <v>180</v>
      </c>
      <c r="D55" s="24" t="s">
        <v>150</v>
      </c>
      <c r="E55" s="24">
        <v>-170964</v>
      </c>
      <c r="H55" s="24">
        <v>-170964</v>
      </c>
      <c r="O55" s="24" t="s">
        <v>116</v>
      </c>
      <c r="P55" s="24" t="s">
        <v>181</v>
      </c>
      <c r="R55" s="24" t="s">
        <v>182</v>
      </c>
    </row>
    <row r="56" spans="1:18" x14ac:dyDescent="0.3">
      <c r="A56" s="24" t="s">
        <v>150</v>
      </c>
      <c r="B56" s="24" t="s">
        <v>102</v>
      </c>
      <c r="C56" s="24" t="s">
        <v>183</v>
      </c>
      <c r="D56" s="24" t="s">
        <v>150</v>
      </c>
      <c r="E56" s="24">
        <v>-165341</v>
      </c>
      <c r="H56" s="24">
        <v>-165341</v>
      </c>
      <c r="O56" s="24" t="s">
        <v>116</v>
      </c>
      <c r="P56" s="24" t="s">
        <v>137</v>
      </c>
      <c r="R56" s="24" t="s">
        <v>184</v>
      </c>
    </row>
    <row r="57" spans="1:18" x14ac:dyDescent="0.3">
      <c r="A57" s="24" t="s">
        <v>150</v>
      </c>
      <c r="B57" s="24" t="s">
        <v>102</v>
      </c>
      <c r="C57" s="24" t="s">
        <v>192</v>
      </c>
      <c r="D57" s="24" t="s">
        <v>194</v>
      </c>
      <c r="E57" s="24">
        <v>-166541</v>
      </c>
      <c r="H57" s="24">
        <v>-166541</v>
      </c>
      <c r="O57" s="24" t="s">
        <v>116</v>
      </c>
      <c r="P57" s="24" t="s">
        <v>113</v>
      </c>
      <c r="Q57" s="24" t="s">
        <v>190</v>
      </c>
      <c r="R57" s="24" t="s">
        <v>193</v>
      </c>
    </row>
    <row r="58" spans="1:18" x14ac:dyDescent="0.3">
      <c r="A58" s="24" t="s">
        <v>150</v>
      </c>
      <c r="B58" s="24" t="s">
        <v>103</v>
      </c>
      <c r="C58" s="24" t="s">
        <v>136</v>
      </c>
      <c r="D58" s="24" t="s">
        <v>151</v>
      </c>
      <c r="E58" s="24">
        <v>302770</v>
      </c>
      <c r="H58" s="24"/>
      <c r="K58" s="24">
        <v>302770</v>
      </c>
      <c r="O58" s="24" t="s">
        <v>137</v>
      </c>
      <c r="P58" s="24" t="s">
        <v>116</v>
      </c>
      <c r="R58" s="24" t="s">
        <v>152</v>
      </c>
    </row>
    <row r="59" spans="1:18" x14ac:dyDescent="0.3">
      <c r="A59" s="24" t="s">
        <v>138</v>
      </c>
      <c r="B59" s="24" t="s">
        <v>101</v>
      </c>
      <c r="C59" s="24" t="s">
        <v>201</v>
      </c>
      <c r="D59" s="24" t="s">
        <v>138</v>
      </c>
      <c r="E59" s="24">
        <v>344098.48</v>
      </c>
      <c r="H59" s="24"/>
      <c r="K59" s="24">
        <v>344098.48</v>
      </c>
      <c r="O59" s="24" t="s">
        <v>113</v>
      </c>
      <c r="P59" s="24" t="s">
        <v>116</v>
      </c>
      <c r="R59" s="24" t="s">
        <v>202</v>
      </c>
    </row>
    <row r="60" spans="1:18" x14ac:dyDescent="0.3">
      <c r="A60" s="24" t="s">
        <v>138</v>
      </c>
      <c r="B60" s="24" t="s">
        <v>101</v>
      </c>
      <c r="C60" s="24" t="s">
        <v>255</v>
      </c>
      <c r="D60" s="24" t="s">
        <v>138</v>
      </c>
      <c r="E60" s="24">
        <v>295160</v>
      </c>
      <c r="H60" s="24"/>
      <c r="K60" s="24">
        <v>295160</v>
      </c>
      <c r="O60" s="24" t="s">
        <v>113</v>
      </c>
      <c r="P60" s="24" t="s">
        <v>116</v>
      </c>
      <c r="Q60" s="24" t="s">
        <v>258</v>
      </c>
      <c r="R60" s="24" t="s">
        <v>259</v>
      </c>
    </row>
    <row r="61" spans="1:18" x14ac:dyDescent="0.3">
      <c r="A61" s="24" t="s">
        <v>138</v>
      </c>
      <c r="B61" s="24" t="s">
        <v>103</v>
      </c>
      <c r="C61" s="24" t="s">
        <v>136</v>
      </c>
      <c r="D61" s="24" t="s">
        <v>151</v>
      </c>
      <c r="E61" s="24">
        <v>302770</v>
      </c>
      <c r="H61" s="24"/>
      <c r="K61" s="24">
        <v>302770</v>
      </c>
      <c r="O61" s="24" t="s">
        <v>137</v>
      </c>
      <c r="P61" s="24" t="s">
        <v>116</v>
      </c>
      <c r="R61" s="24" t="s">
        <v>153</v>
      </c>
    </row>
    <row r="62" spans="1:18" x14ac:dyDescent="0.3">
      <c r="A62" s="24" t="s">
        <v>151</v>
      </c>
      <c r="B62" s="24" t="s">
        <v>103</v>
      </c>
      <c r="C62" s="24" t="s">
        <v>136</v>
      </c>
      <c r="D62" s="24" t="s">
        <v>151</v>
      </c>
      <c r="E62" s="24">
        <v>302770</v>
      </c>
      <c r="H62" s="24"/>
      <c r="K62" s="24">
        <v>302770</v>
      </c>
      <c r="O62" s="24" t="s">
        <v>137</v>
      </c>
      <c r="P62" s="24" t="s">
        <v>116</v>
      </c>
      <c r="R62" s="24" t="s">
        <v>154</v>
      </c>
    </row>
    <row r="66" spans="1:18" ht="15.6" x14ac:dyDescent="0.3">
      <c r="A66" s="219" t="s">
        <v>92</v>
      </c>
      <c r="B66" s="219"/>
      <c r="C66" s="219"/>
      <c r="D66" s="219"/>
      <c r="E66" s="219"/>
      <c r="F66" s="219"/>
      <c r="G66" s="219"/>
    </row>
    <row r="68" spans="1:18" x14ac:dyDescent="0.3">
      <c r="A68" s="100" t="s">
        <v>50</v>
      </c>
      <c r="B68" s="100" t="s">
        <v>51</v>
      </c>
      <c r="C68" s="100" t="s">
        <v>13</v>
      </c>
      <c r="D68" s="100" t="s">
        <v>52</v>
      </c>
      <c r="E68" s="100" t="s">
        <v>10</v>
      </c>
      <c r="F68" s="100" t="s">
        <v>44</v>
      </c>
      <c r="G68" s="100" t="s">
        <v>45</v>
      </c>
      <c r="H68" s="100" t="s">
        <v>4</v>
      </c>
      <c r="I68" s="100" t="s">
        <v>46</v>
      </c>
      <c r="J68" s="100" t="s">
        <v>5</v>
      </c>
      <c r="K68" s="100" t="s">
        <v>6</v>
      </c>
      <c r="L68" s="100" t="s">
        <v>47</v>
      </c>
      <c r="M68" s="100" t="s">
        <v>48</v>
      </c>
      <c r="N68" s="100" t="s">
        <v>49</v>
      </c>
      <c r="O68" s="100" t="s">
        <v>109</v>
      </c>
      <c r="P68" s="100" t="s">
        <v>110</v>
      </c>
      <c r="Q68" s="100" t="s">
        <v>111</v>
      </c>
      <c r="R68" s="100" t="s">
        <v>112</v>
      </c>
    </row>
    <row r="69" spans="1:18" x14ac:dyDescent="0.3">
      <c r="A69" s="30" t="s">
        <v>114</v>
      </c>
      <c r="B69" s="30" t="s">
        <v>99</v>
      </c>
      <c r="C69" s="30" t="s">
        <v>115</v>
      </c>
      <c r="D69" s="30" t="s">
        <v>117</v>
      </c>
      <c r="E69" s="30">
        <v>1515000</v>
      </c>
      <c r="F69" s="30"/>
      <c r="G69" s="30"/>
      <c r="H69" s="30"/>
      <c r="I69" s="30"/>
      <c r="J69" s="30"/>
      <c r="K69" s="30">
        <v>1515000</v>
      </c>
      <c r="L69" s="30"/>
      <c r="M69" s="30"/>
      <c r="N69" s="30"/>
      <c r="O69" s="100" t="s">
        <v>108</v>
      </c>
      <c r="P69" s="100" t="s">
        <v>116</v>
      </c>
      <c r="Q69" s="100"/>
      <c r="R69" s="100" t="s">
        <v>120</v>
      </c>
    </row>
    <row r="70" spans="1:18" x14ac:dyDescent="0.3">
      <c r="A70" s="100" t="s">
        <v>114</v>
      </c>
      <c r="B70" s="100" t="s">
        <v>100</v>
      </c>
      <c r="C70" s="100" t="s">
        <v>121</v>
      </c>
      <c r="D70" s="100" t="s">
        <v>118</v>
      </c>
      <c r="E70" s="100">
        <v>-220000</v>
      </c>
      <c r="F70" s="100"/>
      <c r="G70" s="100"/>
      <c r="H70" s="100">
        <v>-220000</v>
      </c>
      <c r="I70" s="100"/>
      <c r="J70" s="100"/>
      <c r="K70" s="100"/>
      <c r="L70" s="100"/>
      <c r="M70" s="100"/>
      <c r="N70" s="100"/>
      <c r="O70" s="100" t="s">
        <v>116</v>
      </c>
      <c r="P70" s="100" t="s">
        <v>113</v>
      </c>
      <c r="Q70" s="100" t="s">
        <v>122</v>
      </c>
      <c r="R70" s="100" t="s">
        <v>123</v>
      </c>
    </row>
    <row r="71" spans="1:18" x14ac:dyDescent="0.3">
      <c r="A71" s="100" t="s">
        <v>114</v>
      </c>
      <c r="B71" s="100" t="s">
        <v>53</v>
      </c>
      <c r="C71" s="100" t="s">
        <v>124</v>
      </c>
      <c r="D71" s="100"/>
      <c r="E71" s="100">
        <v>-380000</v>
      </c>
      <c r="F71" s="100"/>
      <c r="G71" s="100"/>
      <c r="H71" s="100">
        <v>-380000</v>
      </c>
      <c r="I71" s="100"/>
      <c r="J71" s="100"/>
      <c r="K71" s="100"/>
      <c r="L71" s="100"/>
      <c r="M71" s="100"/>
      <c r="N71" s="100"/>
      <c r="O71" s="100" t="s">
        <v>116</v>
      </c>
      <c r="P71" s="100" t="s">
        <v>113</v>
      </c>
      <c r="Q71" s="100"/>
      <c r="R71" s="100" t="s">
        <v>125</v>
      </c>
    </row>
    <row r="72" spans="1:18" x14ac:dyDescent="0.3">
      <c r="A72" s="100" t="s">
        <v>36</v>
      </c>
      <c r="B72" s="100" t="s">
        <v>100</v>
      </c>
      <c r="C72" s="100" t="s">
        <v>126</v>
      </c>
      <c r="D72" s="100" t="s">
        <v>118</v>
      </c>
      <c r="E72" s="100">
        <v>-559770</v>
      </c>
      <c r="F72" s="100"/>
      <c r="G72" s="100"/>
      <c r="H72" s="100">
        <v>-559770</v>
      </c>
      <c r="I72" s="100"/>
      <c r="J72" s="100"/>
      <c r="K72" s="100"/>
      <c r="L72" s="100"/>
      <c r="M72" s="100"/>
      <c r="N72" s="100"/>
      <c r="O72" s="100" t="s">
        <v>116</v>
      </c>
      <c r="P72" s="100" t="s">
        <v>113</v>
      </c>
      <c r="Q72" s="100" t="s">
        <v>122</v>
      </c>
      <c r="R72" s="100" t="s">
        <v>127</v>
      </c>
    </row>
    <row r="73" spans="1:18" x14ac:dyDescent="0.3">
      <c r="A73" s="100" t="s">
        <v>118</v>
      </c>
      <c r="B73" s="100" t="s">
        <v>173</v>
      </c>
      <c r="C73" s="100" t="s">
        <v>174</v>
      </c>
      <c r="D73" s="100" t="s">
        <v>178</v>
      </c>
      <c r="E73" s="100">
        <v>-10083.379999999999</v>
      </c>
      <c r="F73" s="100"/>
      <c r="G73" s="100"/>
      <c r="H73" s="100">
        <v>0</v>
      </c>
      <c r="I73" s="100"/>
      <c r="J73" s="100"/>
      <c r="K73" s="100"/>
      <c r="L73" s="100"/>
      <c r="M73" s="100"/>
      <c r="N73" s="100"/>
      <c r="O73" s="100" t="s">
        <v>116</v>
      </c>
      <c r="P73" s="100" t="s">
        <v>113</v>
      </c>
      <c r="Q73" s="100"/>
      <c r="R73" s="100" t="s">
        <v>179</v>
      </c>
    </row>
    <row r="74" spans="1:18" x14ac:dyDescent="0.3">
      <c r="A74" s="100" t="s">
        <v>118</v>
      </c>
      <c r="B74" s="100" t="s">
        <v>99</v>
      </c>
      <c r="C74" s="100" t="s">
        <v>155</v>
      </c>
      <c r="D74" s="100" t="s">
        <v>117</v>
      </c>
      <c r="E74" s="100">
        <v>200000</v>
      </c>
      <c r="F74" s="100"/>
      <c r="G74" s="100"/>
      <c r="H74" s="100"/>
      <c r="I74" s="100"/>
      <c r="J74" s="100"/>
      <c r="K74" s="100">
        <v>200000</v>
      </c>
      <c r="L74" s="100"/>
      <c r="M74" s="100"/>
      <c r="N74" s="100"/>
      <c r="O74" s="100" t="s">
        <v>140</v>
      </c>
      <c r="P74" s="100" t="s">
        <v>116</v>
      </c>
      <c r="Q74" s="100"/>
      <c r="R74" s="100" t="s">
        <v>141</v>
      </c>
    </row>
    <row r="75" spans="1:18" x14ac:dyDescent="0.3">
      <c r="A75" s="100" t="s">
        <v>118</v>
      </c>
      <c r="B75" s="100" t="s">
        <v>100</v>
      </c>
      <c r="C75" s="100" t="s">
        <v>156</v>
      </c>
      <c r="D75" s="100" t="s">
        <v>117</v>
      </c>
      <c r="E75" s="100">
        <v>-1515000</v>
      </c>
      <c r="F75" s="100"/>
      <c r="G75" s="100"/>
      <c r="H75" s="100"/>
      <c r="I75" s="100"/>
      <c r="J75" s="100"/>
      <c r="K75" s="100">
        <v>-1515000</v>
      </c>
      <c r="L75" s="100"/>
      <c r="M75" s="100"/>
      <c r="N75" s="100"/>
      <c r="O75" s="100" t="s">
        <v>116</v>
      </c>
      <c r="P75" s="100" t="s">
        <v>113</v>
      </c>
      <c r="Q75" s="100"/>
      <c r="R75" s="100" t="s">
        <v>157</v>
      </c>
    </row>
    <row r="76" spans="1:18" x14ac:dyDescent="0.3">
      <c r="A76" s="100" t="s">
        <v>118</v>
      </c>
      <c r="B76" s="100" t="s">
        <v>100</v>
      </c>
      <c r="C76" s="100" t="s">
        <v>159</v>
      </c>
      <c r="D76" s="100" t="s">
        <v>131</v>
      </c>
      <c r="E76" s="100">
        <v>-580186</v>
      </c>
      <c r="F76" s="100"/>
      <c r="G76" s="100"/>
      <c r="H76" s="100"/>
      <c r="I76" s="100"/>
      <c r="J76" s="100"/>
      <c r="K76" s="100">
        <v>-580186</v>
      </c>
      <c r="L76" s="100"/>
      <c r="M76" s="100"/>
      <c r="N76" s="100"/>
      <c r="O76" s="100" t="s">
        <v>116</v>
      </c>
      <c r="P76" s="100" t="s">
        <v>113</v>
      </c>
      <c r="Q76" s="100" t="s">
        <v>160</v>
      </c>
      <c r="R76" s="100" t="s">
        <v>161</v>
      </c>
    </row>
    <row r="77" spans="1:18" x14ac:dyDescent="0.3">
      <c r="A77" s="100" t="s">
        <v>118</v>
      </c>
      <c r="B77" s="100" t="s">
        <v>100</v>
      </c>
      <c r="C77" s="100" t="s">
        <v>162</v>
      </c>
      <c r="D77" s="100" t="s">
        <v>131</v>
      </c>
      <c r="E77" s="100">
        <v>-120639</v>
      </c>
      <c r="F77" s="100"/>
      <c r="G77" s="100"/>
      <c r="H77" s="100">
        <v>-120639</v>
      </c>
      <c r="I77" s="100"/>
      <c r="J77" s="100"/>
      <c r="K77" s="100"/>
      <c r="L77" s="100"/>
      <c r="M77" s="100"/>
      <c r="N77" s="100"/>
      <c r="O77" s="100" t="s">
        <v>116</v>
      </c>
      <c r="P77" s="100" t="s">
        <v>163</v>
      </c>
      <c r="Q77" s="100" t="s">
        <v>164</v>
      </c>
      <c r="R77" s="100" t="s">
        <v>165</v>
      </c>
    </row>
    <row r="78" spans="1:18" x14ac:dyDescent="0.3">
      <c r="A78" s="100" t="s">
        <v>118</v>
      </c>
      <c r="B78" s="100" t="s">
        <v>100</v>
      </c>
      <c r="C78" s="100" t="s">
        <v>170</v>
      </c>
      <c r="D78" s="100" t="s">
        <v>131</v>
      </c>
      <c r="E78" s="100">
        <v>-31179</v>
      </c>
      <c r="F78" s="100"/>
      <c r="G78" s="100"/>
      <c r="H78" s="100"/>
      <c r="I78" s="100"/>
      <c r="J78" s="100"/>
      <c r="K78" s="100">
        <v>-31179</v>
      </c>
      <c r="L78" s="100"/>
      <c r="M78" s="100"/>
      <c r="N78" s="100"/>
      <c r="O78" s="100" t="s">
        <v>116</v>
      </c>
      <c r="P78" s="100" t="s">
        <v>113</v>
      </c>
      <c r="Q78" s="100" t="s">
        <v>171</v>
      </c>
      <c r="R78" s="100" t="s">
        <v>172</v>
      </c>
    </row>
    <row r="79" spans="1:18" x14ac:dyDescent="0.3">
      <c r="A79" s="100" t="s">
        <v>118</v>
      </c>
      <c r="B79" s="100" t="s">
        <v>101</v>
      </c>
      <c r="C79" s="100" t="s">
        <v>126</v>
      </c>
      <c r="D79" s="100" t="s">
        <v>118</v>
      </c>
      <c r="E79" s="100">
        <v>559770</v>
      </c>
      <c r="F79" s="100"/>
      <c r="G79" s="100"/>
      <c r="H79" s="100">
        <v>559770</v>
      </c>
      <c r="I79" s="100"/>
      <c r="J79" s="100"/>
      <c r="K79" s="100"/>
      <c r="L79" s="100"/>
      <c r="M79" s="100"/>
      <c r="N79" s="100"/>
      <c r="O79" s="100" t="s">
        <v>113</v>
      </c>
      <c r="P79" s="100" t="s">
        <v>116</v>
      </c>
      <c r="Q79" s="100" t="s">
        <v>122</v>
      </c>
      <c r="R79" s="100" t="s">
        <v>128</v>
      </c>
    </row>
    <row r="80" spans="1:18" x14ac:dyDescent="0.3">
      <c r="A80" s="100" t="s">
        <v>118</v>
      </c>
      <c r="B80" s="100" t="s">
        <v>101</v>
      </c>
      <c r="C80" s="100" t="s">
        <v>121</v>
      </c>
      <c r="D80" s="100" t="s">
        <v>118</v>
      </c>
      <c r="E80" s="100">
        <v>220000</v>
      </c>
      <c r="F80" s="100"/>
      <c r="G80" s="100"/>
      <c r="H80" s="100">
        <v>220000</v>
      </c>
      <c r="I80" s="100"/>
      <c r="J80" s="100"/>
      <c r="K80" s="100"/>
      <c r="L80" s="100"/>
      <c r="M80" s="100"/>
      <c r="N80" s="100"/>
      <c r="O80" s="100" t="s">
        <v>113</v>
      </c>
      <c r="P80" s="100" t="s">
        <v>116</v>
      </c>
      <c r="Q80" s="100" t="s">
        <v>122</v>
      </c>
      <c r="R80" s="100" t="s">
        <v>129</v>
      </c>
    </row>
    <row r="81" spans="1:18" x14ac:dyDescent="0.3">
      <c r="A81" s="100" t="s">
        <v>118</v>
      </c>
      <c r="B81" s="100" t="s">
        <v>103</v>
      </c>
      <c r="C81" s="100" t="s">
        <v>142</v>
      </c>
      <c r="D81" s="100"/>
      <c r="E81" s="100">
        <v>496377</v>
      </c>
      <c r="F81" s="100"/>
      <c r="G81" s="100"/>
      <c r="H81" s="100">
        <v>496377</v>
      </c>
      <c r="I81" s="100"/>
      <c r="J81" s="100"/>
      <c r="K81" s="100"/>
      <c r="L81" s="100"/>
      <c r="M81" s="100"/>
      <c r="N81" s="100"/>
      <c r="O81" s="100" t="s">
        <v>137</v>
      </c>
      <c r="P81" s="100" t="s">
        <v>116</v>
      </c>
      <c r="Q81" s="100"/>
      <c r="R81" s="100" t="s">
        <v>143</v>
      </c>
    </row>
    <row r="82" spans="1:18" x14ac:dyDescent="0.3">
      <c r="A82" s="100" t="s">
        <v>118</v>
      </c>
      <c r="B82" s="100" t="s">
        <v>103</v>
      </c>
      <c r="C82" s="100" t="s">
        <v>136</v>
      </c>
      <c r="D82" s="100" t="s">
        <v>138</v>
      </c>
      <c r="E82" s="100">
        <v>289145</v>
      </c>
      <c r="F82" s="100"/>
      <c r="G82" s="100"/>
      <c r="H82" s="100"/>
      <c r="I82" s="100"/>
      <c r="J82" s="100"/>
      <c r="K82" s="100">
        <v>289145</v>
      </c>
      <c r="L82" s="100"/>
      <c r="M82" s="100"/>
      <c r="N82" s="100"/>
      <c r="O82" s="100" t="s">
        <v>137</v>
      </c>
      <c r="P82" s="100" t="s">
        <v>116</v>
      </c>
      <c r="Q82" s="100"/>
      <c r="R82" s="100" t="s">
        <v>139</v>
      </c>
    </row>
    <row r="83" spans="1:18" x14ac:dyDescent="0.3">
      <c r="A83" s="100" t="s">
        <v>118</v>
      </c>
      <c r="B83" s="100" t="s">
        <v>53</v>
      </c>
      <c r="C83" s="100" t="s">
        <v>175</v>
      </c>
      <c r="D83" s="100"/>
      <c r="E83" s="100">
        <v>-26312</v>
      </c>
      <c r="F83" s="100"/>
      <c r="G83" s="100"/>
      <c r="H83" s="100"/>
      <c r="I83" s="100"/>
      <c r="J83" s="100"/>
      <c r="K83" s="100"/>
      <c r="L83" s="100"/>
      <c r="M83" s="100"/>
      <c r="N83" s="100"/>
      <c r="O83" s="100" t="s">
        <v>116</v>
      </c>
      <c r="P83" s="100" t="s">
        <v>113</v>
      </c>
      <c r="Q83" s="100" t="s">
        <v>176</v>
      </c>
      <c r="R83" s="100" t="s">
        <v>177</v>
      </c>
    </row>
    <row r="84" spans="1:18" x14ac:dyDescent="0.3">
      <c r="A84" s="108" t="s">
        <v>117</v>
      </c>
      <c r="B84" s="108" t="s">
        <v>99</v>
      </c>
      <c r="C84" s="108" t="s">
        <v>180</v>
      </c>
      <c r="D84" s="108" t="s">
        <v>150</v>
      </c>
      <c r="E84" s="108">
        <v>162000</v>
      </c>
      <c r="F84" s="108"/>
      <c r="G84" s="108"/>
      <c r="H84" s="108">
        <v>162000</v>
      </c>
      <c r="I84" s="108"/>
      <c r="J84" s="108"/>
      <c r="K84" s="108"/>
      <c r="L84" s="108"/>
      <c r="M84" s="108"/>
      <c r="N84" s="108"/>
      <c r="O84" s="108" t="s">
        <v>181</v>
      </c>
      <c r="P84" s="108" t="s">
        <v>116</v>
      </c>
      <c r="Q84" s="108"/>
      <c r="R84" s="108" t="s">
        <v>182</v>
      </c>
    </row>
    <row r="85" spans="1:18" x14ac:dyDescent="0.3">
      <c r="A85" s="108" t="s">
        <v>117</v>
      </c>
      <c r="B85" s="108" t="s">
        <v>99</v>
      </c>
      <c r="C85" s="108" t="s">
        <v>183</v>
      </c>
      <c r="D85" s="108" t="s">
        <v>150</v>
      </c>
      <c r="E85" s="108">
        <v>156743</v>
      </c>
      <c r="F85" s="108"/>
      <c r="G85" s="108"/>
      <c r="H85" s="108">
        <v>156743</v>
      </c>
      <c r="I85" s="108"/>
      <c r="J85" s="108"/>
      <c r="K85" s="108"/>
      <c r="L85" s="108"/>
      <c r="M85" s="108"/>
      <c r="N85" s="108"/>
      <c r="O85" s="108" t="s">
        <v>137</v>
      </c>
      <c r="P85" s="108" t="s">
        <v>116</v>
      </c>
      <c r="Q85" s="108"/>
      <c r="R85" s="108" t="s">
        <v>184</v>
      </c>
    </row>
    <row r="86" spans="1:18" x14ac:dyDescent="0.3">
      <c r="A86" s="108" t="s">
        <v>117</v>
      </c>
      <c r="B86" s="108" t="s">
        <v>100</v>
      </c>
      <c r="C86" s="108" t="s">
        <v>130</v>
      </c>
      <c r="D86" s="108" t="s">
        <v>131</v>
      </c>
      <c r="E86" s="108">
        <v>-600000</v>
      </c>
      <c r="F86" s="108"/>
      <c r="G86" s="108"/>
      <c r="H86" s="108">
        <v>-600000</v>
      </c>
      <c r="I86" s="108"/>
      <c r="J86" s="108"/>
      <c r="K86" s="108"/>
      <c r="L86" s="108"/>
      <c r="M86" s="108"/>
      <c r="N86" s="108"/>
      <c r="O86" s="108" t="s">
        <v>116</v>
      </c>
      <c r="P86" s="108" t="s">
        <v>113</v>
      </c>
      <c r="Q86" s="108" t="s">
        <v>132</v>
      </c>
      <c r="R86" s="108" t="s">
        <v>123</v>
      </c>
    </row>
    <row r="87" spans="1:18" x14ac:dyDescent="0.3">
      <c r="A87" s="108" t="s">
        <v>117</v>
      </c>
      <c r="B87" s="108" t="s">
        <v>100</v>
      </c>
      <c r="C87" s="108" t="s">
        <v>158</v>
      </c>
      <c r="D87" s="108" t="s">
        <v>131</v>
      </c>
      <c r="E87" s="108">
        <v>-500000</v>
      </c>
      <c r="F87" s="108"/>
      <c r="G87" s="108"/>
      <c r="H87" s="108"/>
      <c r="I87" s="108"/>
      <c r="J87" s="108"/>
      <c r="K87" s="108">
        <v>-500000</v>
      </c>
      <c r="L87" s="108"/>
      <c r="M87" s="108"/>
      <c r="N87" s="108"/>
      <c r="O87" s="108" t="s">
        <v>116</v>
      </c>
      <c r="P87" s="108" t="s">
        <v>140</v>
      </c>
      <c r="Q87" s="108" t="s">
        <v>145</v>
      </c>
      <c r="R87" s="108" t="s">
        <v>146</v>
      </c>
    </row>
    <row r="88" spans="1:18" x14ac:dyDescent="0.3">
      <c r="A88" s="108" t="s">
        <v>117</v>
      </c>
      <c r="B88" s="108" t="s">
        <v>100</v>
      </c>
      <c r="C88" s="108" t="s">
        <v>189</v>
      </c>
      <c r="D88" s="108" t="s">
        <v>131</v>
      </c>
      <c r="E88" s="108">
        <v>-35247.72</v>
      </c>
      <c r="F88" s="108"/>
      <c r="G88" s="108"/>
      <c r="H88" s="108">
        <v>-35247.72</v>
      </c>
      <c r="I88" s="108"/>
      <c r="J88" s="108"/>
      <c r="K88" s="108"/>
      <c r="L88" s="108"/>
      <c r="M88" s="108"/>
      <c r="N88" s="108"/>
      <c r="O88" s="108" t="s">
        <v>116</v>
      </c>
      <c r="P88" s="108" t="s">
        <v>113</v>
      </c>
      <c r="Q88" s="108" t="s">
        <v>190</v>
      </c>
      <c r="R88" s="108" t="s">
        <v>191</v>
      </c>
    </row>
    <row r="89" spans="1:18" x14ac:dyDescent="0.3">
      <c r="A89" s="108" t="s">
        <v>117</v>
      </c>
      <c r="B89" s="108" t="s">
        <v>101</v>
      </c>
      <c r="C89" s="108" t="s">
        <v>156</v>
      </c>
      <c r="D89" s="108" t="s">
        <v>117</v>
      </c>
      <c r="E89" s="108">
        <v>1515000</v>
      </c>
      <c r="F89" s="108"/>
      <c r="G89" s="108"/>
      <c r="H89" s="108"/>
      <c r="I89" s="108"/>
      <c r="J89" s="108"/>
      <c r="K89" s="108">
        <v>1515000</v>
      </c>
      <c r="L89" s="108"/>
      <c r="M89" s="108"/>
      <c r="N89" s="108"/>
      <c r="O89" s="108" t="s">
        <v>113</v>
      </c>
      <c r="P89" s="108" t="s">
        <v>116</v>
      </c>
      <c r="Q89" s="108"/>
      <c r="R89" s="108" t="s">
        <v>157</v>
      </c>
    </row>
    <row r="90" spans="1:18" x14ac:dyDescent="0.3">
      <c r="A90" s="108" t="s">
        <v>117</v>
      </c>
      <c r="B90" s="108" t="s">
        <v>102</v>
      </c>
      <c r="C90" s="108" t="s">
        <v>115</v>
      </c>
      <c r="D90" s="108"/>
      <c r="E90" s="108">
        <v>-1515000</v>
      </c>
      <c r="F90" s="108"/>
      <c r="G90" s="108"/>
      <c r="H90" s="108"/>
      <c r="I90" s="108"/>
      <c r="J90" s="108"/>
      <c r="K90" s="108">
        <v>-1515000</v>
      </c>
      <c r="L90" s="108"/>
      <c r="M90" s="108"/>
      <c r="N90" s="108"/>
      <c r="O90" s="108" t="s">
        <v>116</v>
      </c>
      <c r="P90" s="108" t="s">
        <v>108</v>
      </c>
      <c r="Q90" s="108"/>
      <c r="R90" s="108" t="s">
        <v>133</v>
      </c>
    </row>
    <row r="91" spans="1:18" x14ac:dyDescent="0.3">
      <c r="A91" s="108" t="s">
        <v>117</v>
      </c>
      <c r="B91" s="108" t="s">
        <v>102</v>
      </c>
      <c r="C91" s="108" t="s">
        <v>155</v>
      </c>
      <c r="D91" s="108" t="s">
        <v>117</v>
      </c>
      <c r="E91" s="108">
        <v>-200000</v>
      </c>
      <c r="F91" s="108"/>
      <c r="G91" s="108"/>
      <c r="H91" s="108"/>
      <c r="I91" s="108"/>
      <c r="J91" s="108"/>
      <c r="K91" s="108">
        <v>-200000</v>
      </c>
      <c r="L91" s="108"/>
      <c r="M91" s="108"/>
      <c r="N91" s="108"/>
      <c r="O91" s="108" t="s">
        <v>116</v>
      </c>
      <c r="P91" s="108" t="s">
        <v>140</v>
      </c>
      <c r="Q91" s="108"/>
      <c r="R91" s="108" t="s">
        <v>141</v>
      </c>
    </row>
    <row r="92" spans="1:18" x14ac:dyDescent="0.3">
      <c r="A92" s="108" t="s">
        <v>117</v>
      </c>
      <c r="B92" s="108" t="s">
        <v>103</v>
      </c>
      <c r="C92" s="108" t="s">
        <v>136</v>
      </c>
      <c r="D92" s="108" t="s">
        <v>138</v>
      </c>
      <c r="E92" s="108">
        <v>289145</v>
      </c>
      <c r="F92" s="108"/>
      <c r="G92" s="108"/>
      <c r="H92" s="108"/>
      <c r="I92" s="108"/>
      <c r="J92" s="108"/>
      <c r="K92" s="108">
        <v>289145</v>
      </c>
      <c r="L92" s="108"/>
      <c r="M92" s="108"/>
      <c r="N92" s="108"/>
      <c r="O92" s="108" t="s">
        <v>137</v>
      </c>
      <c r="P92" s="108" t="s">
        <v>116</v>
      </c>
      <c r="Q92" s="108"/>
      <c r="R92" s="108" t="s">
        <v>144</v>
      </c>
    </row>
    <row r="93" spans="1:18" x14ac:dyDescent="0.3">
      <c r="A93" s="108" t="s">
        <v>131</v>
      </c>
      <c r="B93" s="108" t="s">
        <v>99</v>
      </c>
      <c r="C93" s="108" t="s">
        <v>192</v>
      </c>
      <c r="D93" s="108" t="s">
        <v>194</v>
      </c>
      <c r="E93" s="108">
        <v>364793</v>
      </c>
      <c r="F93" s="108"/>
      <c r="G93" s="108"/>
      <c r="H93" s="108">
        <v>364793</v>
      </c>
      <c r="I93" s="108"/>
      <c r="J93" s="108"/>
      <c r="K93" s="108"/>
      <c r="L93" s="108"/>
      <c r="M93" s="108"/>
      <c r="N93" s="108"/>
      <c r="O93" s="108" t="s">
        <v>113</v>
      </c>
      <c r="P93" s="108" t="s">
        <v>116</v>
      </c>
      <c r="Q93" s="108" t="s">
        <v>190</v>
      </c>
      <c r="R93" s="108" t="s">
        <v>193</v>
      </c>
    </row>
    <row r="94" spans="1:18" x14ac:dyDescent="0.3">
      <c r="A94" s="108" t="s">
        <v>131</v>
      </c>
      <c r="B94" s="108" t="s">
        <v>99</v>
      </c>
      <c r="C94" s="108" t="s">
        <v>197</v>
      </c>
      <c r="D94" s="108" t="s">
        <v>148</v>
      </c>
      <c r="E94" s="108">
        <v>319592</v>
      </c>
      <c r="F94" s="108"/>
      <c r="G94" s="108"/>
      <c r="H94" s="108"/>
      <c r="I94" s="108"/>
      <c r="J94" s="108"/>
      <c r="K94" s="108">
        <v>319592</v>
      </c>
      <c r="L94" s="108"/>
      <c r="M94" s="108"/>
      <c r="N94" s="108"/>
      <c r="O94" s="108" t="s">
        <v>113</v>
      </c>
      <c r="P94" s="108" t="s">
        <v>116</v>
      </c>
      <c r="Q94" s="108" t="s">
        <v>188</v>
      </c>
      <c r="R94" s="108" t="s">
        <v>198</v>
      </c>
    </row>
    <row r="95" spans="1:18" x14ac:dyDescent="0.3">
      <c r="A95" s="108" t="s">
        <v>131</v>
      </c>
      <c r="B95" s="108" t="s">
        <v>100</v>
      </c>
      <c r="C95" s="108" t="s">
        <v>201</v>
      </c>
      <c r="D95" s="108" t="s">
        <v>138</v>
      </c>
      <c r="E95" s="108">
        <v>-344098.48</v>
      </c>
      <c r="F95" s="108"/>
      <c r="G95" s="108"/>
      <c r="H95" s="108">
        <v>-42536.67</v>
      </c>
      <c r="I95" s="108"/>
      <c r="J95" s="108"/>
      <c r="K95" s="108">
        <v>-301561.81</v>
      </c>
      <c r="L95" s="108"/>
      <c r="M95" s="108"/>
      <c r="N95" s="108"/>
      <c r="O95" s="108" t="s">
        <v>116</v>
      </c>
      <c r="P95" s="108" t="s">
        <v>113</v>
      </c>
      <c r="Q95" s="108"/>
      <c r="R95" s="108" t="s">
        <v>202</v>
      </c>
    </row>
    <row r="96" spans="1:18" x14ac:dyDescent="0.3">
      <c r="A96" s="108" t="s">
        <v>131</v>
      </c>
      <c r="B96" s="108" t="s">
        <v>101</v>
      </c>
      <c r="C96" s="108" t="s">
        <v>130</v>
      </c>
      <c r="D96" s="108" t="s">
        <v>131</v>
      </c>
      <c r="E96" s="108">
        <v>600000</v>
      </c>
      <c r="F96" s="108"/>
      <c r="G96" s="108"/>
      <c r="H96" s="108">
        <v>600000</v>
      </c>
      <c r="I96" s="108"/>
      <c r="J96" s="108"/>
      <c r="K96" s="108"/>
      <c r="L96" s="108"/>
      <c r="M96" s="108"/>
      <c r="N96" s="108"/>
      <c r="O96" s="108" t="s">
        <v>113</v>
      </c>
      <c r="P96" s="108" t="s">
        <v>116</v>
      </c>
      <c r="Q96" s="108" t="s">
        <v>132</v>
      </c>
      <c r="R96" s="108" t="s">
        <v>134</v>
      </c>
    </row>
    <row r="97" spans="1:18" x14ac:dyDescent="0.3">
      <c r="A97" s="108" t="s">
        <v>131</v>
      </c>
      <c r="B97" s="108" t="s">
        <v>101</v>
      </c>
      <c r="C97" s="108" t="s">
        <v>158</v>
      </c>
      <c r="D97" s="108" t="s">
        <v>131</v>
      </c>
      <c r="E97" s="108">
        <v>500000</v>
      </c>
      <c r="F97" s="108"/>
      <c r="G97" s="108"/>
      <c r="H97" s="108"/>
      <c r="I97" s="108"/>
      <c r="J97" s="108"/>
      <c r="K97" s="108">
        <v>500000</v>
      </c>
      <c r="L97" s="108"/>
      <c r="M97" s="108"/>
      <c r="N97" s="108"/>
      <c r="O97" s="108" t="s">
        <v>140</v>
      </c>
      <c r="P97" s="108" t="s">
        <v>116</v>
      </c>
      <c r="Q97" s="108" t="s">
        <v>145</v>
      </c>
      <c r="R97" s="108" t="s">
        <v>146</v>
      </c>
    </row>
    <row r="98" spans="1:18" x14ac:dyDescent="0.3">
      <c r="A98" s="108" t="s">
        <v>131</v>
      </c>
      <c r="B98" s="108" t="s">
        <v>101</v>
      </c>
      <c r="C98" s="108" t="s">
        <v>159</v>
      </c>
      <c r="D98" s="108"/>
      <c r="E98" s="108">
        <v>580186</v>
      </c>
      <c r="F98" s="108"/>
      <c r="G98" s="108"/>
      <c r="H98" s="108"/>
      <c r="I98" s="108"/>
      <c r="J98" s="108"/>
      <c r="K98" s="108">
        <v>580186</v>
      </c>
      <c r="L98" s="108"/>
      <c r="M98" s="108"/>
      <c r="N98" s="108"/>
      <c r="O98" s="108" t="s">
        <v>113</v>
      </c>
      <c r="P98" s="108" t="s">
        <v>116</v>
      </c>
      <c r="Q98" s="108" t="s">
        <v>160</v>
      </c>
      <c r="R98" s="108" t="s">
        <v>166</v>
      </c>
    </row>
    <row r="99" spans="1:18" x14ac:dyDescent="0.3">
      <c r="A99" s="108" t="s">
        <v>131</v>
      </c>
      <c r="B99" s="108" t="s">
        <v>101</v>
      </c>
      <c r="C99" s="108" t="s">
        <v>162</v>
      </c>
      <c r="D99" s="108"/>
      <c r="E99" s="108">
        <v>120639</v>
      </c>
      <c r="F99" s="108"/>
      <c r="G99" s="108"/>
      <c r="H99" s="108">
        <v>120639</v>
      </c>
      <c r="I99" s="108"/>
      <c r="J99" s="108"/>
      <c r="K99" s="108"/>
      <c r="L99" s="108"/>
      <c r="M99" s="108"/>
      <c r="N99" s="108"/>
      <c r="O99" s="108" t="s">
        <v>163</v>
      </c>
      <c r="P99" s="108" t="s">
        <v>116</v>
      </c>
      <c r="Q99" s="108" t="s">
        <v>164</v>
      </c>
      <c r="R99" s="108" t="s">
        <v>167</v>
      </c>
    </row>
    <row r="100" spans="1:18" x14ac:dyDescent="0.3">
      <c r="A100" s="108" t="s">
        <v>131</v>
      </c>
      <c r="B100" s="108" t="s">
        <v>101</v>
      </c>
      <c r="C100" s="108" t="s">
        <v>170</v>
      </c>
      <c r="D100" s="108"/>
      <c r="E100" s="108">
        <v>31179</v>
      </c>
      <c r="F100" s="108"/>
      <c r="G100" s="108"/>
      <c r="H100" s="108"/>
      <c r="I100" s="108"/>
      <c r="J100" s="108"/>
      <c r="K100" s="108">
        <v>31179</v>
      </c>
      <c r="L100" s="108"/>
      <c r="M100" s="108"/>
      <c r="N100" s="108"/>
      <c r="O100" s="108" t="s">
        <v>113</v>
      </c>
      <c r="P100" s="108" t="s">
        <v>116</v>
      </c>
      <c r="Q100" s="108" t="s">
        <v>171</v>
      </c>
      <c r="R100" s="108" t="s">
        <v>172</v>
      </c>
    </row>
    <row r="101" spans="1:18" x14ac:dyDescent="0.3">
      <c r="A101" s="24" t="s">
        <v>131</v>
      </c>
      <c r="B101" s="24" t="s">
        <v>101</v>
      </c>
      <c r="C101" s="24" t="s">
        <v>189</v>
      </c>
      <c r="D101" s="24" t="s">
        <v>131</v>
      </c>
      <c r="E101" s="24">
        <v>35247.72</v>
      </c>
      <c r="H101" s="24">
        <v>35247.72</v>
      </c>
      <c r="O101" s="24" t="s">
        <v>113</v>
      </c>
      <c r="P101" s="24" t="s">
        <v>116</v>
      </c>
      <c r="Q101" s="24" t="s">
        <v>190</v>
      </c>
      <c r="R101" s="24" t="s">
        <v>191</v>
      </c>
    </row>
    <row r="102" spans="1:18" x14ac:dyDescent="0.3">
      <c r="A102" s="24" t="s">
        <v>131</v>
      </c>
      <c r="B102" s="24" t="s">
        <v>103</v>
      </c>
      <c r="C102" s="24" t="s">
        <v>136</v>
      </c>
      <c r="D102" s="24" t="s">
        <v>138</v>
      </c>
      <c r="E102" s="24">
        <v>289145</v>
      </c>
      <c r="H102" s="24"/>
      <c r="K102" s="24">
        <v>289145</v>
      </c>
      <c r="O102" s="24" t="s">
        <v>137</v>
      </c>
      <c r="P102" s="24" t="s">
        <v>116</v>
      </c>
      <c r="R102" s="24" t="s">
        <v>147</v>
      </c>
    </row>
    <row r="103" spans="1:18" x14ac:dyDescent="0.3">
      <c r="A103" s="24" t="s">
        <v>148</v>
      </c>
      <c r="B103" s="24" t="s">
        <v>100</v>
      </c>
      <c r="C103" s="24" t="s">
        <v>255</v>
      </c>
      <c r="D103" s="24" t="s">
        <v>150</v>
      </c>
      <c r="E103" s="24">
        <v>-252000</v>
      </c>
      <c r="H103" s="24"/>
      <c r="K103" s="24">
        <v>-252000</v>
      </c>
      <c r="O103" s="24" t="s">
        <v>116</v>
      </c>
      <c r="P103" s="24" t="s">
        <v>113</v>
      </c>
      <c r="Q103" s="24" t="s">
        <v>258</v>
      </c>
      <c r="R103" s="24" t="s">
        <v>259</v>
      </c>
    </row>
    <row r="104" spans="1:18" x14ac:dyDescent="0.3">
      <c r="A104" s="142" t="s">
        <v>148</v>
      </c>
      <c r="B104" s="142" t="s">
        <v>100</v>
      </c>
      <c r="C104" s="142" t="s">
        <v>255</v>
      </c>
      <c r="D104" s="142" t="s">
        <v>150</v>
      </c>
      <c r="E104" s="142">
        <v>-150000</v>
      </c>
      <c r="F104" s="142"/>
      <c r="G104" s="142"/>
      <c r="H104" s="142">
        <v>-150000</v>
      </c>
      <c r="I104" s="142"/>
      <c r="J104" s="142"/>
      <c r="K104" s="142"/>
      <c r="L104" s="142"/>
      <c r="M104" s="142"/>
      <c r="N104" s="142"/>
      <c r="O104" s="142" t="s">
        <v>116</v>
      </c>
      <c r="P104" s="142" t="s">
        <v>113</v>
      </c>
      <c r="Q104" s="142" t="s">
        <v>256</v>
      </c>
      <c r="R104" s="142" t="s">
        <v>191</v>
      </c>
    </row>
    <row r="105" spans="1:18" x14ac:dyDescent="0.3">
      <c r="A105" s="142" t="s">
        <v>148</v>
      </c>
      <c r="B105" s="142" t="s">
        <v>100</v>
      </c>
      <c r="C105" s="142" t="s">
        <v>255</v>
      </c>
      <c r="D105" s="142" t="s">
        <v>150</v>
      </c>
      <c r="E105" s="142">
        <v>-165000</v>
      </c>
      <c r="F105" s="142"/>
      <c r="G105" s="142"/>
      <c r="H105" s="142">
        <v>-165000</v>
      </c>
      <c r="I105" s="142"/>
      <c r="J105" s="142"/>
      <c r="K105" s="142"/>
      <c r="L105" s="142"/>
      <c r="M105" s="142"/>
      <c r="N105" s="142"/>
      <c r="O105" s="142" t="s">
        <v>116</v>
      </c>
      <c r="P105" s="142" t="s">
        <v>113</v>
      </c>
      <c r="Q105" s="142" t="s">
        <v>257</v>
      </c>
      <c r="R105" s="142" t="s">
        <v>191</v>
      </c>
    </row>
    <row r="106" spans="1:18" x14ac:dyDescent="0.3">
      <c r="A106" s="142" t="s">
        <v>148</v>
      </c>
      <c r="B106" s="142" t="s">
        <v>100</v>
      </c>
      <c r="C106" s="142" t="s">
        <v>255</v>
      </c>
      <c r="D106" s="142" t="s">
        <v>138</v>
      </c>
      <c r="E106" s="142">
        <v>-295160</v>
      </c>
      <c r="F106" s="142"/>
      <c r="G106" s="142"/>
      <c r="H106" s="142"/>
      <c r="I106" s="142"/>
      <c r="J106" s="142"/>
      <c r="K106" s="142">
        <v>-295160</v>
      </c>
      <c r="L106" s="142"/>
      <c r="M106" s="142"/>
      <c r="N106" s="142"/>
      <c r="O106" s="142" t="s">
        <v>116</v>
      </c>
      <c r="P106" s="142" t="s">
        <v>113</v>
      </c>
      <c r="Q106" s="142" t="s">
        <v>258</v>
      </c>
      <c r="R106" s="142" t="s">
        <v>259</v>
      </c>
    </row>
    <row r="107" spans="1:18" x14ac:dyDescent="0.3">
      <c r="A107" s="142" t="s">
        <v>148</v>
      </c>
      <c r="B107" s="142" t="s">
        <v>102</v>
      </c>
      <c r="C107" s="142" t="s">
        <v>192</v>
      </c>
      <c r="D107" s="142" t="s">
        <v>194</v>
      </c>
      <c r="E107" s="142">
        <v>-198252</v>
      </c>
      <c r="F107" s="142"/>
      <c r="G107" s="142"/>
      <c r="H107" s="142"/>
      <c r="I107" s="142"/>
      <c r="J107" s="142"/>
      <c r="K107" s="142">
        <v>-198252</v>
      </c>
      <c r="L107" s="142"/>
      <c r="M107" s="142"/>
      <c r="N107" s="142"/>
      <c r="O107" s="142" t="s">
        <v>116</v>
      </c>
      <c r="P107" s="142" t="s">
        <v>113</v>
      </c>
      <c r="Q107" s="142" t="s">
        <v>190</v>
      </c>
      <c r="R107" s="142" t="s">
        <v>193</v>
      </c>
    </row>
    <row r="108" spans="1:18" x14ac:dyDescent="0.3">
      <c r="A108" s="142" t="s">
        <v>148</v>
      </c>
      <c r="B108" s="142" t="s">
        <v>102</v>
      </c>
      <c r="C108" s="142" t="s">
        <v>197</v>
      </c>
      <c r="D108" s="142" t="s">
        <v>148</v>
      </c>
      <c r="E108" s="142">
        <v>-319592</v>
      </c>
      <c r="F108" s="142"/>
      <c r="G108" s="142"/>
      <c r="H108" s="142"/>
      <c r="I108" s="142"/>
      <c r="J108" s="142"/>
      <c r="K108" s="142">
        <v>-319592</v>
      </c>
      <c r="L108" s="142"/>
      <c r="M108" s="142"/>
      <c r="N108" s="142"/>
      <c r="O108" s="142" t="s">
        <v>116</v>
      </c>
      <c r="P108" s="142" t="s">
        <v>113</v>
      </c>
      <c r="Q108" s="142" t="s">
        <v>188</v>
      </c>
      <c r="R108" s="142" t="s">
        <v>198</v>
      </c>
    </row>
    <row r="109" spans="1:18" x14ac:dyDescent="0.3">
      <c r="A109" s="24" t="s">
        <v>148</v>
      </c>
      <c r="B109" s="24" t="s">
        <v>103</v>
      </c>
      <c r="C109" s="24" t="s">
        <v>136</v>
      </c>
      <c r="D109" s="24" t="s">
        <v>138</v>
      </c>
      <c r="E109" s="24">
        <v>289145</v>
      </c>
      <c r="H109" s="24"/>
      <c r="K109" s="24">
        <v>289145</v>
      </c>
      <c r="O109" s="24" t="s">
        <v>137</v>
      </c>
      <c r="P109" s="24" t="s">
        <v>116</v>
      </c>
      <c r="R109" s="24" t="s">
        <v>149</v>
      </c>
    </row>
    <row r="110" spans="1:18" x14ac:dyDescent="0.3">
      <c r="A110" s="24" t="s">
        <v>150</v>
      </c>
      <c r="B110" s="24" t="s">
        <v>101</v>
      </c>
      <c r="C110" s="24" t="s">
        <v>255</v>
      </c>
      <c r="D110" s="24" t="s">
        <v>150</v>
      </c>
      <c r="E110" s="24">
        <v>252000</v>
      </c>
      <c r="H110" s="24"/>
      <c r="K110" s="24">
        <v>252000</v>
      </c>
      <c r="O110" s="24" t="s">
        <v>113</v>
      </c>
      <c r="P110" s="24" t="s">
        <v>116</v>
      </c>
      <c r="Q110" s="24" t="s">
        <v>258</v>
      </c>
      <c r="R110" s="24" t="s">
        <v>259</v>
      </c>
    </row>
    <row r="111" spans="1:18" x14ac:dyDescent="0.3">
      <c r="A111" s="24" t="s">
        <v>150</v>
      </c>
      <c r="B111" s="24" t="s">
        <v>101</v>
      </c>
      <c r="C111" s="24" t="s">
        <v>255</v>
      </c>
      <c r="D111" s="24" t="s">
        <v>150</v>
      </c>
      <c r="E111" s="24">
        <v>150000</v>
      </c>
      <c r="H111" s="24">
        <v>150000</v>
      </c>
      <c r="O111" s="24" t="s">
        <v>113</v>
      </c>
      <c r="P111" s="24" t="s">
        <v>116</v>
      </c>
      <c r="Q111" s="24" t="s">
        <v>256</v>
      </c>
      <c r="R111" s="24" t="s">
        <v>191</v>
      </c>
    </row>
    <row r="112" spans="1:18" x14ac:dyDescent="0.3">
      <c r="A112" s="24" t="s">
        <v>150</v>
      </c>
      <c r="B112" s="24" t="s">
        <v>101</v>
      </c>
      <c r="C112" s="24" t="s">
        <v>255</v>
      </c>
      <c r="D112" s="24" t="s">
        <v>150</v>
      </c>
      <c r="E112" s="24">
        <v>165000</v>
      </c>
      <c r="H112" s="24">
        <v>165000</v>
      </c>
      <c r="O112" s="24" t="s">
        <v>113</v>
      </c>
      <c r="P112" s="24" t="s">
        <v>116</v>
      </c>
      <c r="Q112" s="24" t="s">
        <v>257</v>
      </c>
      <c r="R112" s="24" t="s">
        <v>191</v>
      </c>
    </row>
    <row r="113" spans="1:18" x14ac:dyDescent="0.3">
      <c r="A113" s="24" t="s">
        <v>150</v>
      </c>
      <c r="B113" s="24" t="s">
        <v>102</v>
      </c>
      <c r="C113" s="24" t="s">
        <v>180</v>
      </c>
      <c r="D113" s="24" t="s">
        <v>150</v>
      </c>
      <c r="E113" s="24">
        <v>-162000</v>
      </c>
      <c r="H113" s="24">
        <v>-162000</v>
      </c>
      <c r="O113" s="24" t="s">
        <v>116</v>
      </c>
      <c r="P113" s="24" t="s">
        <v>181</v>
      </c>
      <c r="R113" s="24" t="s">
        <v>182</v>
      </c>
    </row>
    <row r="114" spans="1:18" x14ac:dyDescent="0.3">
      <c r="A114" s="24" t="s">
        <v>150</v>
      </c>
      <c r="B114" s="24" t="s">
        <v>102</v>
      </c>
      <c r="C114" s="24" t="s">
        <v>183</v>
      </c>
      <c r="D114" s="24" t="s">
        <v>150</v>
      </c>
      <c r="E114" s="24">
        <v>-156743</v>
      </c>
      <c r="H114" s="24">
        <v>-156743</v>
      </c>
      <c r="O114" s="24" t="s">
        <v>116</v>
      </c>
      <c r="P114" s="24" t="s">
        <v>137</v>
      </c>
      <c r="R114" s="24" t="s">
        <v>184</v>
      </c>
    </row>
    <row r="115" spans="1:18" x14ac:dyDescent="0.3">
      <c r="A115" s="24" t="s">
        <v>150</v>
      </c>
      <c r="B115" s="24" t="s">
        <v>102</v>
      </c>
      <c r="C115" s="24" t="s">
        <v>192</v>
      </c>
      <c r="D115" s="24" t="s">
        <v>194</v>
      </c>
      <c r="E115" s="24">
        <v>-166541</v>
      </c>
      <c r="H115" s="24">
        <v>-166541</v>
      </c>
      <c r="O115" s="24" t="s">
        <v>116</v>
      </c>
      <c r="P115" s="24" t="s">
        <v>113</v>
      </c>
      <c r="Q115" s="24" t="s">
        <v>190</v>
      </c>
      <c r="R115" s="24" t="s">
        <v>193</v>
      </c>
    </row>
    <row r="116" spans="1:18" x14ac:dyDescent="0.3">
      <c r="A116" s="24" t="s">
        <v>150</v>
      </c>
      <c r="B116" s="24" t="s">
        <v>103</v>
      </c>
      <c r="C116" s="24" t="s">
        <v>136</v>
      </c>
      <c r="D116" s="24" t="s">
        <v>151</v>
      </c>
      <c r="E116" s="24">
        <v>289145</v>
      </c>
      <c r="H116" s="24"/>
      <c r="K116" s="24">
        <v>289145</v>
      </c>
      <c r="O116" s="24" t="s">
        <v>137</v>
      </c>
      <c r="P116" s="24" t="s">
        <v>116</v>
      </c>
      <c r="R116" s="24" t="s">
        <v>152</v>
      </c>
    </row>
    <row r="117" spans="1:18" x14ac:dyDescent="0.3">
      <c r="A117" s="24" t="s">
        <v>138</v>
      </c>
      <c r="B117" s="24" t="s">
        <v>101</v>
      </c>
      <c r="C117" s="24" t="s">
        <v>201</v>
      </c>
      <c r="D117" s="24" t="s">
        <v>138</v>
      </c>
      <c r="E117" s="24">
        <v>344098.48</v>
      </c>
      <c r="H117" s="24"/>
      <c r="K117" s="24">
        <v>344098.48</v>
      </c>
      <c r="O117" s="24" t="s">
        <v>113</v>
      </c>
      <c r="P117" s="24" t="s">
        <v>116</v>
      </c>
      <c r="R117" s="24" t="s">
        <v>202</v>
      </c>
    </row>
    <row r="118" spans="1:18" x14ac:dyDescent="0.3">
      <c r="A118" s="24" t="s">
        <v>138</v>
      </c>
      <c r="B118" s="24" t="s">
        <v>101</v>
      </c>
      <c r="C118" s="24" t="s">
        <v>255</v>
      </c>
      <c r="D118" s="24" t="s">
        <v>138</v>
      </c>
      <c r="E118" s="24">
        <v>295160</v>
      </c>
      <c r="H118" s="24"/>
      <c r="K118" s="24">
        <v>295160</v>
      </c>
      <c r="O118" s="24" t="s">
        <v>113</v>
      </c>
      <c r="P118" s="24" t="s">
        <v>116</v>
      </c>
      <c r="Q118" s="24" t="s">
        <v>258</v>
      </c>
      <c r="R118" s="24" t="s">
        <v>259</v>
      </c>
    </row>
    <row r="119" spans="1:18" x14ac:dyDescent="0.3">
      <c r="A119" s="24" t="s">
        <v>138</v>
      </c>
      <c r="B119" s="24" t="s">
        <v>103</v>
      </c>
      <c r="C119" s="24" t="s">
        <v>136</v>
      </c>
      <c r="D119" s="24" t="s">
        <v>151</v>
      </c>
      <c r="E119" s="24">
        <v>289145</v>
      </c>
      <c r="H119" s="24"/>
      <c r="K119" s="24">
        <v>289145</v>
      </c>
      <c r="O119" s="24" t="s">
        <v>137</v>
      </c>
      <c r="P119" s="24" t="s">
        <v>116</v>
      </c>
      <c r="R119" s="24" t="s">
        <v>153</v>
      </c>
    </row>
    <row r="120" spans="1:18" x14ac:dyDescent="0.3">
      <c r="A120" s="24" t="s">
        <v>151</v>
      </c>
      <c r="B120" s="24" t="s">
        <v>103</v>
      </c>
      <c r="C120" s="24" t="s">
        <v>136</v>
      </c>
      <c r="D120" s="24" t="s">
        <v>151</v>
      </c>
      <c r="E120" s="24">
        <v>289145</v>
      </c>
      <c r="H120" s="24"/>
      <c r="K120" s="24">
        <v>289145</v>
      </c>
      <c r="O120" s="24" t="s">
        <v>137</v>
      </c>
      <c r="P120" s="24" t="s">
        <v>116</v>
      </c>
      <c r="R120" s="24" t="s">
        <v>154</v>
      </c>
    </row>
  </sheetData>
  <mergeCells count="5">
    <mergeCell ref="A1:F1"/>
    <mergeCell ref="A3:F3"/>
    <mergeCell ref="A9:G9"/>
    <mergeCell ref="A66:G66"/>
    <mergeCell ref="A7:H7"/>
  </mergeCells>
  <pageMargins left="0.7" right="0.7" top="0.75" bottom="0.75" header="0.3" footer="0.3"/>
  <pageSetup paperSize="17" scale="72" fitToHeight="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5"/>
  <sheetViews>
    <sheetView topLeftCell="A4" zoomScaleNormal="100" workbookViewId="0">
      <selection activeCell="B17" sqref="B17:E18"/>
    </sheetView>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224" t="s">
        <v>14</v>
      </c>
      <c r="C1" s="224"/>
      <c r="D1" s="224"/>
      <c r="E1" s="224"/>
    </row>
    <row r="2" spans="1:5" ht="75.599999999999994" customHeight="1" x14ac:dyDescent="0.35">
      <c r="A2" s="1">
        <v>1</v>
      </c>
      <c r="B2" s="223" t="s">
        <v>16</v>
      </c>
      <c r="C2" s="223"/>
      <c r="D2" s="223"/>
      <c r="E2" s="223"/>
    </row>
    <row r="3" spans="1:5" ht="7.95" customHeight="1" x14ac:dyDescent="0.35">
      <c r="B3" s="3"/>
      <c r="C3" s="3"/>
      <c r="D3" s="3"/>
      <c r="E3" s="3"/>
    </row>
    <row r="4" spans="1:5" ht="33" customHeight="1" x14ac:dyDescent="0.35">
      <c r="A4" s="1">
        <v>2</v>
      </c>
      <c r="B4" s="223" t="s">
        <v>17</v>
      </c>
      <c r="C4" s="223"/>
      <c r="D4" s="223"/>
      <c r="E4" s="223"/>
    </row>
    <row r="5" spans="1:5" ht="7.95" customHeight="1" x14ac:dyDescent="0.35">
      <c r="B5" s="3"/>
      <c r="C5" s="3"/>
      <c r="D5" s="3"/>
      <c r="E5" s="3"/>
    </row>
    <row r="6" spans="1:5" s="16" customFormat="1" ht="105" customHeight="1" x14ac:dyDescent="0.35">
      <c r="A6" s="17">
        <v>3</v>
      </c>
      <c r="B6" s="228" t="s">
        <v>75</v>
      </c>
      <c r="C6" s="228"/>
      <c r="D6" s="228"/>
      <c r="E6" s="228"/>
    </row>
    <row r="7" spans="1:5" s="16" customFormat="1" ht="7.95" customHeight="1" x14ac:dyDescent="0.35">
      <c r="A7" s="17"/>
      <c r="B7" s="18"/>
      <c r="C7" s="18"/>
      <c r="D7" s="18"/>
      <c r="E7" s="18"/>
    </row>
    <row r="8" spans="1:5" ht="18" customHeight="1" x14ac:dyDescent="0.3">
      <c r="A8" s="1">
        <v>4</v>
      </c>
      <c r="B8" s="227" t="s">
        <v>66</v>
      </c>
      <c r="C8" s="227"/>
      <c r="D8" s="8"/>
      <c r="E8" s="8"/>
    </row>
    <row r="9" spans="1:5" ht="18" customHeight="1" x14ac:dyDescent="0.3">
      <c r="B9" s="226" t="s">
        <v>229</v>
      </c>
      <c r="C9" s="226"/>
      <c r="D9" s="12">
        <v>125000</v>
      </c>
    </row>
    <row r="10" spans="1:5" ht="18" customHeight="1" x14ac:dyDescent="0.3">
      <c r="B10" s="223" t="s">
        <v>230</v>
      </c>
      <c r="C10" s="223"/>
      <c r="D10" s="11">
        <v>-31250</v>
      </c>
    </row>
    <row r="11" spans="1:5" ht="18" customHeight="1" x14ac:dyDescent="0.25">
      <c r="B11" s="226" t="s">
        <v>231</v>
      </c>
      <c r="C11" s="226"/>
      <c r="D11" s="13">
        <f>+D9+D10</f>
        <v>93750</v>
      </c>
    </row>
    <row r="12" spans="1:5" ht="31.5" customHeight="1" x14ac:dyDescent="0.25">
      <c r="B12" s="223" t="s">
        <v>232</v>
      </c>
      <c r="C12" s="223"/>
      <c r="D12" s="10">
        <v>31250</v>
      </c>
    </row>
    <row r="13" spans="1:5" ht="36.75" customHeight="1" x14ac:dyDescent="0.3">
      <c r="B13" s="226" t="s">
        <v>233</v>
      </c>
      <c r="C13" s="226"/>
      <c r="D13" s="14">
        <f>SUM(D11:D12)</f>
        <v>125000</v>
      </c>
    </row>
    <row r="14" spans="1:5" s="16" customFormat="1" ht="7.95" customHeight="1" x14ac:dyDescent="0.3">
      <c r="A14" s="17"/>
      <c r="B14" s="21"/>
      <c r="C14" s="21"/>
      <c r="D14" s="22"/>
    </row>
    <row r="15" spans="1:5" s="16" customFormat="1" ht="78.599999999999994" customHeight="1" x14ac:dyDescent="0.3">
      <c r="A15" s="1">
        <v>5</v>
      </c>
      <c r="B15" s="225" t="s">
        <v>67</v>
      </c>
      <c r="C15" s="225"/>
      <c r="D15" s="225"/>
      <c r="E15" s="225"/>
    </row>
    <row r="16" spans="1:5" ht="7.95" customHeight="1" x14ac:dyDescent="0.3">
      <c r="B16" s="3"/>
      <c r="C16" s="3"/>
      <c r="D16" s="3"/>
      <c r="E16" s="3"/>
    </row>
    <row r="17" spans="1:5" ht="14.4" customHeight="1" x14ac:dyDescent="0.3">
      <c r="A17" s="1">
        <v>6</v>
      </c>
      <c r="B17" s="223" t="s">
        <v>244</v>
      </c>
      <c r="C17" s="223"/>
      <c r="D17" s="223"/>
      <c r="E17" s="223"/>
    </row>
    <row r="18" spans="1:5" x14ac:dyDescent="0.3">
      <c r="B18" s="223"/>
      <c r="C18" s="223"/>
      <c r="D18" s="223"/>
      <c r="E18" s="223"/>
    </row>
    <row r="19" spans="1:5" s="16" customFormat="1" x14ac:dyDescent="0.3">
      <c r="A19" s="17"/>
      <c r="B19" s="149"/>
      <c r="C19" s="149"/>
      <c r="D19" s="149"/>
      <c r="E19" s="149"/>
    </row>
    <row r="20" spans="1:5" ht="33" customHeight="1" x14ac:dyDescent="0.3">
      <c r="A20" s="1">
        <v>7</v>
      </c>
      <c r="B20" s="223" t="s">
        <v>39</v>
      </c>
      <c r="C20" s="223"/>
      <c r="D20" s="223"/>
      <c r="E20" s="223"/>
    </row>
    <row r="21" spans="1:5" ht="7.95" customHeight="1" x14ac:dyDescent="0.3">
      <c r="B21" s="7"/>
      <c r="C21" s="7"/>
      <c r="D21" s="7"/>
      <c r="E21" s="7"/>
    </row>
    <row r="22" spans="1:5" ht="47.25" customHeight="1" x14ac:dyDescent="0.3">
      <c r="A22" s="1">
        <v>8</v>
      </c>
      <c r="B22" s="223" t="s">
        <v>40</v>
      </c>
      <c r="C22" s="223"/>
      <c r="D22" s="223"/>
      <c r="E22" s="223"/>
    </row>
    <row r="23" spans="1:5" ht="7.95" customHeight="1" x14ac:dyDescent="0.3">
      <c r="B23" s="7"/>
      <c r="C23" s="7"/>
      <c r="D23" s="7"/>
      <c r="E23" s="7"/>
    </row>
    <row r="24" spans="1:5" ht="32.25" customHeight="1" x14ac:dyDescent="0.3">
      <c r="A24" s="1">
        <v>9</v>
      </c>
      <c r="B24" s="223" t="s">
        <v>38</v>
      </c>
      <c r="C24" s="223"/>
      <c r="D24" s="223"/>
      <c r="E24" s="223"/>
    </row>
    <row r="25" spans="1:5" ht="7.95" customHeight="1" x14ac:dyDescent="0.3">
      <c r="B25" s="7"/>
      <c r="C25" s="7"/>
      <c r="D25" s="7"/>
      <c r="E25" s="7"/>
    </row>
    <row r="26" spans="1:5" ht="33" customHeight="1" x14ac:dyDescent="0.3">
      <c r="A26" s="1">
        <v>10</v>
      </c>
      <c r="B26" s="223" t="s">
        <v>41</v>
      </c>
      <c r="C26" s="223"/>
      <c r="D26" s="223"/>
      <c r="E26" s="223"/>
    </row>
    <row r="27" spans="1:5" ht="7.95" customHeight="1" x14ac:dyDescent="0.3">
      <c r="B27" s="3"/>
      <c r="C27" s="3"/>
      <c r="D27" s="3"/>
      <c r="E27" s="3"/>
    </row>
    <row r="28" spans="1:5" ht="30" customHeight="1" x14ac:dyDescent="0.3">
      <c r="A28" s="1">
        <v>11</v>
      </c>
      <c r="B28" s="223" t="s">
        <v>42</v>
      </c>
      <c r="C28" s="223"/>
      <c r="D28" s="223"/>
      <c r="E28" s="223"/>
    </row>
    <row r="29" spans="1:5" ht="7.95" customHeight="1" x14ac:dyDescent="0.3">
      <c r="B29" s="3"/>
      <c r="C29" s="3"/>
      <c r="D29" s="3"/>
      <c r="E29" s="3"/>
    </row>
    <row r="30" spans="1:5" ht="31.5" customHeight="1" x14ac:dyDescent="0.3">
      <c r="A30" s="1">
        <v>12</v>
      </c>
      <c r="B30" s="223" t="s">
        <v>43</v>
      </c>
      <c r="C30" s="223"/>
      <c r="D30" s="223"/>
      <c r="E30" s="223"/>
    </row>
    <row r="31" spans="1:5" ht="7.95" customHeight="1" x14ac:dyDescent="0.3">
      <c r="B31" s="7"/>
      <c r="C31" s="7"/>
      <c r="D31" s="7"/>
      <c r="E31" s="7"/>
    </row>
    <row r="32" spans="1:5" ht="34.5" customHeight="1" x14ac:dyDescent="0.3">
      <c r="A32" s="1">
        <v>13</v>
      </c>
      <c r="B32" s="223" t="s">
        <v>18</v>
      </c>
      <c r="C32" s="223"/>
      <c r="D32" s="223"/>
      <c r="E32" s="223"/>
    </row>
    <row r="33" spans="1:5" ht="7.95" customHeight="1" x14ac:dyDescent="0.3">
      <c r="B33" s="3"/>
      <c r="C33" s="3"/>
      <c r="D33" s="3"/>
      <c r="E33" s="3"/>
    </row>
    <row r="34" spans="1:5" ht="48.6" customHeight="1" x14ac:dyDescent="0.3">
      <c r="A34" s="1">
        <v>14</v>
      </c>
      <c r="B34" s="223" t="s">
        <v>19</v>
      </c>
      <c r="C34" s="223"/>
      <c r="D34" s="223"/>
      <c r="E34" s="223"/>
    </row>
    <row r="35" spans="1:5" ht="7.95" customHeight="1" x14ac:dyDescent="0.3">
      <c r="B35" s="3"/>
      <c r="C35" s="3"/>
      <c r="D35" s="3"/>
      <c r="E35" s="3"/>
    </row>
    <row r="36" spans="1:5" x14ac:dyDescent="0.3">
      <c r="A36" s="1">
        <v>15</v>
      </c>
      <c r="B36" s="227" t="s">
        <v>34</v>
      </c>
      <c r="C36" s="227"/>
      <c r="D36" s="227"/>
      <c r="E36" s="227"/>
    </row>
    <row r="37" spans="1:5" x14ac:dyDescent="0.3">
      <c r="B37" s="15" t="s">
        <v>7</v>
      </c>
      <c r="C37" s="221" t="s">
        <v>20</v>
      </c>
      <c r="D37" s="221"/>
      <c r="E37" s="221"/>
    </row>
    <row r="38" spans="1:5" x14ac:dyDescent="0.3">
      <c r="B38" s="5" t="s">
        <v>21</v>
      </c>
      <c r="C38" s="222" t="s">
        <v>28</v>
      </c>
      <c r="D38" s="222"/>
      <c r="E38" s="222"/>
    </row>
    <row r="39" spans="1:5" x14ac:dyDescent="0.3">
      <c r="B39" s="15" t="s">
        <v>22</v>
      </c>
      <c r="C39" s="221" t="s">
        <v>29</v>
      </c>
      <c r="D39" s="221"/>
      <c r="E39" s="221"/>
    </row>
    <row r="40" spans="1:5" x14ac:dyDescent="0.3">
      <c r="B40" s="5" t="s">
        <v>23</v>
      </c>
      <c r="C40" s="222" t="s">
        <v>32</v>
      </c>
      <c r="D40" s="222"/>
      <c r="E40" s="222"/>
    </row>
    <row r="41" spans="1:5" x14ac:dyDescent="0.3">
      <c r="B41" s="15" t="s">
        <v>9</v>
      </c>
      <c r="C41" s="221" t="s">
        <v>30</v>
      </c>
      <c r="D41" s="221"/>
      <c r="E41" s="221"/>
    </row>
    <row r="42" spans="1:5" x14ac:dyDescent="0.3">
      <c r="B42" s="5" t="s">
        <v>8</v>
      </c>
      <c r="C42" s="222" t="s">
        <v>24</v>
      </c>
      <c r="D42" s="222"/>
      <c r="E42" s="222"/>
    </row>
    <row r="43" spans="1:5" x14ac:dyDescent="0.3">
      <c r="B43" s="15" t="s">
        <v>25</v>
      </c>
      <c r="C43" s="221" t="s">
        <v>26</v>
      </c>
      <c r="D43" s="221"/>
      <c r="E43" s="221"/>
    </row>
    <row r="44" spans="1:5" x14ac:dyDescent="0.3">
      <c r="B44" s="5" t="s">
        <v>27</v>
      </c>
      <c r="C44" s="222" t="s">
        <v>31</v>
      </c>
      <c r="D44" s="222"/>
      <c r="E44" s="222"/>
    </row>
    <row r="45" spans="1:5" s="16" customFormat="1" ht="7.95" customHeight="1" x14ac:dyDescent="0.3">
      <c r="A45" s="17"/>
      <c r="B45" s="19"/>
      <c r="C45" s="20"/>
      <c r="D45" s="20"/>
      <c r="E45" s="20"/>
    </row>
    <row r="46" spans="1:5" s="16" customFormat="1" x14ac:dyDescent="0.3">
      <c r="A46" s="17">
        <v>16</v>
      </c>
      <c r="B46" s="23" t="s">
        <v>76</v>
      </c>
      <c r="C46" s="20"/>
      <c r="D46" s="20"/>
      <c r="E46" s="20"/>
    </row>
    <row r="47" spans="1:5" s="16" customFormat="1" ht="30" customHeight="1" x14ac:dyDescent="0.3">
      <c r="A47" s="17"/>
      <c r="B47" s="15" t="s">
        <v>57</v>
      </c>
      <c r="C47" s="221" t="s">
        <v>78</v>
      </c>
      <c r="D47" s="221"/>
      <c r="E47" s="221"/>
    </row>
    <row r="48" spans="1:5" s="16" customFormat="1" x14ac:dyDescent="0.3">
      <c r="A48" s="17"/>
      <c r="B48" s="19" t="s">
        <v>58</v>
      </c>
      <c r="C48" s="222" t="s">
        <v>77</v>
      </c>
      <c r="D48" s="222"/>
      <c r="E48" s="222"/>
    </row>
    <row r="49" spans="1:5" s="16" customFormat="1" ht="48.75" customHeight="1" x14ac:dyDescent="0.3">
      <c r="A49" s="17"/>
      <c r="B49" s="15" t="s">
        <v>59</v>
      </c>
      <c r="C49" s="221" t="s">
        <v>80</v>
      </c>
      <c r="D49" s="221"/>
      <c r="E49" s="221"/>
    </row>
    <row r="50" spans="1:5" s="16" customFormat="1" ht="29.25" customHeight="1" x14ac:dyDescent="0.3">
      <c r="A50" s="17"/>
      <c r="B50" s="19" t="s">
        <v>60</v>
      </c>
      <c r="C50" s="222" t="s">
        <v>79</v>
      </c>
      <c r="D50" s="222"/>
      <c r="E50" s="222"/>
    </row>
    <row r="51" spans="1:5" ht="7.95" customHeight="1" x14ac:dyDescent="0.3">
      <c r="B51" s="5"/>
      <c r="C51" s="6"/>
      <c r="D51" s="6"/>
      <c r="E51" s="6"/>
    </row>
    <row r="52" spans="1:5" ht="94.5" customHeight="1" x14ac:dyDescent="0.3">
      <c r="A52" s="1">
        <v>17</v>
      </c>
      <c r="B52" s="230" t="s">
        <v>33</v>
      </c>
      <c r="C52" s="230"/>
      <c r="D52" s="230"/>
      <c r="E52" s="230"/>
    </row>
    <row r="53" spans="1:5" ht="7.95" customHeight="1" x14ac:dyDescent="0.3"/>
    <row r="54" spans="1:5" ht="7.95" customHeight="1" x14ac:dyDescent="0.3">
      <c r="B54" s="2"/>
    </row>
    <row r="55" spans="1:5" x14ac:dyDescent="0.3">
      <c r="A55" s="229" t="s">
        <v>35</v>
      </c>
      <c r="B55" s="229"/>
      <c r="C55" s="229"/>
      <c r="D55" s="229"/>
      <c r="E55" s="229"/>
    </row>
  </sheetData>
  <mergeCells count="35">
    <mergeCell ref="B26:E26"/>
    <mergeCell ref="B28:E28"/>
    <mergeCell ref="B6:E6"/>
    <mergeCell ref="A55:E55"/>
    <mergeCell ref="B20:E20"/>
    <mergeCell ref="B52:E52"/>
    <mergeCell ref="B36:E36"/>
    <mergeCell ref="C37:E37"/>
    <mergeCell ref="C38:E38"/>
    <mergeCell ref="C39:E39"/>
    <mergeCell ref="C40:E40"/>
    <mergeCell ref="C41:E41"/>
    <mergeCell ref="C42:E42"/>
    <mergeCell ref="C43:E43"/>
    <mergeCell ref="C44:E44"/>
    <mergeCell ref="B22:E22"/>
    <mergeCell ref="B24:E24"/>
    <mergeCell ref="B1:E1"/>
    <mergeCell ref="B2:E2"/>
    <mergeCell ref="B4:E4"/>
    <mergeCell ref="B15:E15"/>
    <mergeCell ref="B10:C10"/>
    <mergeCell ref="B11:C11"/>
    <mergeCell ref="B13:C13"/>
    <mergeCell ref="B12:C12"/>
    <mergeCell ref="B8:C8"/>
    <mergeCell ref="B9:C9"/>
    <mergeCell ref="B17:E18"/>
    <mergeCell ref="C47:E47"/>
    <mergeCell ref="C48:E48"/>
    <mergeCell ref="C50:E50"/>
    <mergeCell ref="C49:E49"/>
    <mergeCell ref="B30:E30"/>
    <mergeCell ref="B32:E32"/>
    <mergeCell ref="B34:E34"/>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2014-08-04T15:05:04Z</cp:lastPrinted>
  <dcterms:created xsi:type="dcterms:W3CDTF">2013-05-11T20:19:37Z</dcterms:created>
  <dcterms:modified xsi:type="dcterms:W3CDTF">2018-04-04T14:04:24Z</dcterms:modified>
</cp:coreProperties>
</file>