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2"/>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Transactions'!$A$1:$T$45</definedName>
    <definedName name="Query_from_MS_Access_Database" localSheetId="0" hidden="1">'Federal Funds Transactions'!$A$15:$Q$34</definedName>
    <definedName name="Query_from_MS_Access_Database" localSheetId="1" hidden="1">'Regional Loans and Transfers'!$A$11:$R$19</definedName>
    <definedName name="Query_from_MS_Access_Database_1" localSheetId="0" hidden="1">'Federal Funds Transactions'!$A$39:$Q$40</definedName>
    <definedName name="Query_from_MS_Access_Database_1" localSheetId="1" hidden="1">'Regional Loans and Transfers'!$A$24:$R$32</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S46" i="1" l="1"/>
  <c r="F40" i="1"/>
  <c r="R40" i="1"/>
  <c r="S40" i="1" s="1"/>
  <c r="S16" i="1"/>
  <c r="S17" i="1" s="1"/>
  <c r="S18" i="1" s="1"/>
  <c r="S19" i="1" s="1"/>
  <c r="S20" i="1" s="1"/>
  <c r="S21" i="1" s="1"/>
  <c r="S22" i="1" s="1"/>
  <c r="S23" i="1" s="1"/>
  <c r="S24" i="1" s="1"/>
  <c r="S25" i="1" s="1"/>
  <c r="S26" i="1" s="1"/>
  <c r="S27" i="1" s="1"/>
  <c r="S28" i="1" s="1"/>
  <c r="S29" i="1" s="1"/>
  <c r="S30" i="1" s="1"/>
  <c r="S31" i="1" s="1"/>
  <c r="S32" i="1" s="1"/>
  <c r="S33" i="1" s="1"/>
  <c r="S34" i="1" s="1"/>
  <c r="F16" i="1"/>
  <c r="F17" i="1"/>
  <c r="F18" i="1"/>
  <c r="F19" i="1"/>
  <c r="F20" i="1"/>
  <c r="F21" i="1"/>
  <c r="F22" i="1"/>
  <c r="F23" i="1"/>
  <c r="F24" i="1"/>
  <c r="F25" i="1"/>
  <c r="F26" i="1"/>
  <c r="F27" i="1"/>
  <c r="F28" i="1"/>
  <c r="F29" i="1"/>
  <c r="F30" i="1"/>
  <c r="F31" i="1"/>
  <c r="F32" i="1"/>
  <c r="F33" i="1"/>
  <c r="F34" i="1"/>
  <c r="R16" i="1"/>
  <c r="R17" i="1"/>
  <c r="R18" i="1"/>
  <c r="R19" i="1"/>
  <c r="R20" i="1"/>
  <c r="R21" i="1"/>
  <c r="R22" i="1"/>
  <c r="R23" i="1"/>
  <c r="R24" i="1"/>
  <c r="R25" i="1"/>
  <c r="R26" i="1"/>
  <c r="R27" i="1"/>
  <c r="R28" i="1"/>
  <c r="R29" i="1"/>
  <c r="R30" i="1"/>
  <c r="R31" i="1"/>
  <c r="R32" i="1"/>
  <c r="R33" i="1"/>
  <c r="R34" i="1"/>
  <c r="S47" i="1" l="1"/>
  <c r="Q47" i="1"/>
  <c r="P47" i="1"/>
  <c r="O47" i="1"/>
  <c r="N47" i="1"/>
  <c r="R47" i="1" l="1"/>
  <c r="B5" i="3"/>
  <c r="S48" i="1" l="1"/>
  <c r="S4" i="1" l="1"/>
  <c r="R5" i="1"/>
  <c r="S5" i="1" s="1"/>
  <c r="R4" i="1"/>
  <c r="O41" i="1" l="1"/>
  <c r="P41" i="1"/>
  <c r="Q41" i="1"/>
  <c r="R41" i="1"/>
  <c r="N41" i="1"/>
  <c r="O35" i="1"/>
  <c r="P35" i="1"/>
  <c r="Q35" i="1"/>
  <c r="N35" i="1"/>
  <c r="R35" i="1" l="1"/>
  <c r="O11" i="1" l="1"/>
  <c r="O10" i="1"/>
  <c r="O9" i="1"/>
  <c r="O8" i="1"/>
  <c r="O7" i="1"/>
  <c r="O6" i="1"/>
  <c r="O12" i="1" l="1"/>
  <c r="O36" i="1" s="1"/>
  <c r="A7" i="3" l="1"/>
  <c r="N11" i="1" l="1"/>
  <c r="N10" i="1"/>
  <c r="N9" i="1"/>
  <c r="N8" i="1"/>
  <c r="N7" i="1"/>
  <c r="N6" i="1"/>
  <c r="P11" i="1"/>
  <c r="P10" i="1"/>
  <c r="P9" i="1"/>
  <c r="P8" i="1"/>
  <c r="P7" i="1"/>
  <c r="P6" i="1"/>
  <c r="Q6" i="1"/>
  <c r="Q7" i="1"/>
  <c r="Q8" i="1"/>
  <c r="Q9" i="1"/>
  <c r="Q10" i="1"/>
  <c r="S11" i="1"/>
  <c r="Q11" i="1"/>
  <c r="S7" i="1"/>
  <c r="S8" i="1"/>
  <c r="S9" i="1"/>
  <c r="S10" i="1"/>
  <c r="S6" i="1"/>
  <c r="R7" i="1" l="1"/>
  <c r="R8" i="1"/>
  <c r="R9" i="1"/>
  <c r="R10" i="1"/>
  <c r="R11" i="1"/>
  <c r="D11" i="2" l="1"/>
  <c r="D13" i="2" l="1"/>
  <c r="P12" i="1" s="1"/>
  <c r="O42" i="1" l="1"/>
  <c r="O46" i="1" s="1"/>
  <c r="P36" i="1"/>
  <c r="R6" i="1"/>
  <c r="O49" i="1" l="1"/>
  <c r="O48" i="1"/>
  <c r="A1" i="3"/>
  <c r="N12" i="1" l="1"/>
  <c r="N36" i="1" l="1"/>
  <c r="N42" i="1" s="1"/>
  <c r="N46" i="1" s="1"/>
  <c r="N48" i="1" s="1"/>
  <c r="Q12" i="1"/>
  <c r="Q36" i="1" s="1"/>
  <c r="N49" i="1" l="1"/>
  <c r="R12" i="1"/>
  <c r="P42" i="1"/>
  <c r="S12" i="1"/>
  <c r="P46" i="1" l="1"/>
  <c r="P49" i="1" s="1"/>
  <c r="Q42" i="1"/>
  <c r="Q46" i="1" s="1"/>
  <c r="Q48" i="1" s="1"/>
  <c r="R48" i="1" s="1"/>
  <c r="R36" i="1"/>
  <c r="R42" i="1" s="1"/>
  <c r="Q49" i="1" l="1"/>
  <c r="R46" i="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9-YMPO LEDGER`.`ADOT#`, `09-YMPO LEDGER`.`TIP#`, `09-YMPO LEDGER`.Sponsor, `09-YMPO LEDGER`.`Action/15`, `09-YMPO LEDGER`.Location, `09-YMPO LEDGER`.RTE, `09-YMPO LEDGER`.SEC, `09-YMPO LEDGER`.SEQ, `09-YMPO LEDGER`.`PB Expected`, `09-YMPO LEDGER`.`PB Received`, `09-YMPO LEDGER`.`PF Transmitted`, `09-YMPO LEDGER`.`Finance Authorization`, `09-YMPO LEDGER`.HSIP, `09-YMPO LEDGER`.PL, `09-YMPO LEDGER`.SPR, `09-YMPO LEDGER`.`STP OTHER`_x000d__x000a_FROM `G:\FMS\RESOURCE\ACCESS\010614 PBPF\011614 PBPF front.accdb`.`09-YMPO LEDGER` `09-YMPO LEDGER`_x000d__x000a_WHERE (`09-YMPO LEDGER`.`ADOT#` Not Like 'TRICK') AND (`09-YMPO LEDGER`.`Finance Authorization` Is Not Null)"/>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9-YMPOqryLedgerApportsCrosstab`.`Transaction Year`, `09-YMPOqryLedgerApportsCrosstab`.`Transaction Type`, `09-YMPOqryLedgerApportsCrosstab`.Number, `09-YMPOqryLedgerApportsCrosstab`.`From`, `09-YMPOqryLedgerApportsCrosstab`.To, `09-YMPOqryLedgerApportsCrosstab`.`Repayment Year`, `09-YMPOqryLedgerApportsCrosstab`.Project8, `09-YMPOqryLedgerApportsCrosstab`.Notes, `09-YMPOqryLedgerApportsCrosstab`.Total, `09-YMPOqryLedgerApportsCrosstab`.CMAQ, `09-YMPOqryLedgerApportsCrosstab`.`CMAQ 2_5`, `09-YMPOqryLedgerApportsCrosstab`.HSIP, `09-YMPOqryLedgerApportsCrosstab`.PL, `09-YMPOqryLedgerApportsCrosstab`.SPR, `09-YMPOqryLedgerApportsCrosstab`.`STP other`, `09-YMPOqryLedgerApportsCrosstab`.`STP over 200K`, `09-YMPOqryLedgerApportsCrosstab`.`TA other`, `09-YMPOqryLedgerApportsCrosstab`.`TA over 200K`_x000d__x000a_FROM `G:\FMS\RESOURCE\ACCESS\010614 PBPF\011614 PBPF front.accdb`.`09-YMPOqryLedgerApportsCrosstab` `09-YMPOqryLedgerApportsCrosstab`_x000d__x000a_WHERE (`09-YMPO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9-YMPOqryLedgerOACrosstab`.`Transaction Year`, `09-YMPOqryLedgerOACrosstab`.`Transaction Type`, `09-YMPOqryLedgerOACrosstab`.Number, `09-YMPOqryLedgerOACrosstab`.`From`, `09-YMPOqryLedgerOACrosstab`.To, `09-YMPOqryLedgerOACrosstab`.`Repayment Year`, `09-YMPOqryLedgerOACrosstab`.Project8, `09-YMPOqryLedgerOACrosstab`.Notes, `09-YMPOqryLedgerOACrosstab`.Total, `09-YMPOqryLedgerOACrosstab`.CMAQ, `09-YMPOqryLedgerOACrosstab`.`CMAQ 2_5`, `09-YMPOqryLedgerOACrosstab`.HSIP, `09-YMPOqryLedgerOACrosstab`.PL, `09-YMPOqryLedgerOACrosstab`.SPR, `09-YMPOqryLedgerOACrosstab`.`STP other`, `09-YMPOqryLedgerOACrosstab`.`STP over 200K`, `09-YMPOqryLedgerOACrosstab`.`TA other`, `09-YMPOqryLedgerOACrosstab`.`TA over 200K`_x000d__x000a_FROM `G:\FMS\RESOURCE\ACCESS\010614 PBPF\011614 PBPF front.accdb`.`09-YMPOqryLedgerOACrosstab` `09-YMPOqryLedgerOACrosstab`_x000d__x000a_WHERE (`09-YMPO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9-YMPO LEDGER`.`ADOT#`, `09-YMPO LEDGER`.`TIP#`, `09-YMPO LEDGER`.Sponsor, `09-YMPO LEDGER`.`Action/15`, `09-YMPO LEDGER`.Location, `09-YMPO LEDGER`.RTE, `09-YMPO LEDGER`.SEC, `09-YMPO LEDGER`.SEQ, `09-YMPO LEDGER`.`PB Expected`, `09-YMPO LEDGER`.`PB Received`, `09-YMPO LEDGER`.`PF Transmitted`, `09-YMPO LEDGER`.`Finance Authorization`, `09-YMPO LEDGER`.HSIP, `09-YMPO LEDGER`.PL, `09-YMPO LEDGER`.SPR, `09-YMPO LEDGER`.`STP OTHER`_x000d__x000a_FROM `G:\FMS\RESOURCE\ACCESS\010614 PBPF\011614 PBPF front.accdb`.`09-YMPO LEDGER` `09-YMPO LEDGER`_x000d__x000a_WHERE (`09-YMPO LEDGER`.`ADOT#` Not Like 'TRICK') AND (`09-YMPO LEDGER`.`Finance Authorization` Is Null)"/>
  </connection>
</connections>
</file>

<file path=xl/sharedStrings.xml><?xml version="1.0" encoding="utf-8"?>
<sst xmlns="http://schemas.openxmlformats.org/spreadsheetml/2006/main" count="419" uniqueCount="220">
  <si>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</si>
  <si>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</si>
  <si>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</si>
  <si>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</si>
  <si>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</si>
  <si>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</si>
  <si>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</si>
  <si>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</si>
  <si>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</si>
  <si>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</si>
  <si>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</si>
  <si>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</si>
  <si>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</si>
  <si>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</si>
  <si>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</si>
  <si>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</si>
  <si>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</si>
  <si>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</si>
  <si>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</si>
  <si>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</si>
  <si>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</si>
  <si>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</si>
  <si>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</si>
  <si>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</si>
  <si>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</si>
  <si>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</si>
  <si>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</si>
  <si>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</si>
  <si>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</si>
  <si>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</si>
  <si>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</si>
  <si>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</si>
  <si>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</si>
  <si>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</si>
  <si>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</si>
  <si>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</si>
  <si>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</si>
  <si>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</si>
  <si>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</si>
  <si>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</si>
  <si>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</si>
  <si>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</si>
  <si>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</si>
  <si>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</si>
  <si>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CMAQ 2_5</t>
  </si>
  <si>
    <t>PL</t>
  </si>
  <si>
    <t>STP over 200K</t>
  </si>
  <si>
    <t>TA other</t>
  </si>
  <si>
    <t>TA over 200K</t>
  </si>
  <si>
    <t>Transaction Year</t>
  </si>
  <si>
    <t>Transaction Type</t>
  </si>
  <si>
    <t>Repayment Year</t>
  </si>
  <si>
    <t>RTE</t>
  </si>
  <si>
    <t>SEC</t>
  </si>
  <si>
    <t>SEQ</t>
  </si>
  <si>
    <t>PB Expected</t>
  </si>
  <si>
    <t>PB Received</t>
  </si>
  <si>
    <t>PF Transmitted</t>
  </si>
  <si>
    <t>Finance Authorization</t>
  </si>
  <si>
    <t>STP OTHER</t>
  </si>
  <si>
    <t>FED #</t>
  </si>
  <si>
    <t>EXPECTED DECLINING BALANCE OA</t>
  </si>
  <si>
    <t>TOTAL</t>
  </si>
  <si>
    <t>SPR /4</t>
  </si>
  <si>
    <t xml:space="preserve">State FY 14 amount available for authorization 10/1/13 - 6/30/14 </t>
  </si>
  <si>
    <t>SPR apportionment availability for approved work program</t>
  </si>
  <si>
    <t>State FY 14 Approved work program amount</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</si>
  <si>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</si>
  <si>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 xml:space="preserve">State FY 14 amount authorized prior to 9/30/13 </t>
  </si>
  <si>
    <t>Total SPR apportionments for Federal Fiscal Year 14 (as shown on ledger)</t>
  </si>
  <si>
    <t>APPORTIONMENTS</t>
  </si>
  <si>
    <t>STP</t>
  </si>
  <si>
    <t>OA</t>
  </si>
  <si>
    <t>HSIP/3</t>
  </si>
  <si>
    <t>AUTHORIZED FINANCE ACTIONS /14</t>
  </si>
  <si>
    <t>/ 6</t>
  </si>
  <si>
    <t>Processing Status /16</t>
  </si>
  <si>
    <r>
      <t xml:space="preserve">Available HSIP funding should be programmed </t>
    </r>
    <r>
      <rPr>
        <b/>
        <i/>
        <sz val="11"/>
        <color theme="1"/>
        <rFont val="Calibri"/>
        <family val="2"/>
        <scheme val="minor"/>
      </rPr>
      <t>only</t>
    </r>
    <r>
      <rPr>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</si>
  <si>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</si>
  <si>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</si>
  <si>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</si>
  <si>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</si>
  <si>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</si>
  <si>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</si>
  <si>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</si>
  <si>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</si>
  <si>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</si>
  <si>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</si>
  <si>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</si>
  <si>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</si>
  <si>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</si>
  <si>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Carry Forward to FFY 15</t>
  </si>
  <si>
    <t>LAPSING FUNDS /17</t>
  </si>
  <si>
    <t>State FY 15 amount avaiilable for authorization 7/1/14 - 9/30/14 (request must be submitted by 9/1/14)</t>
  </si>
  <si>
    <t>CURRENT YEAR FUNDS</t>
  </si>
  <si>
    <t>APPORTIONMENT LOANS, REPAYMENTS AND TRANSFERS /see Notes 7 - 12</t>
  </si>
  <si>
    <t>OA LOANS, REPAYMENTS AND TRANSFERS /see Notes 7 - 12</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</si>
  <si>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</si>
  <si>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</si>
  <si>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</si>
  <si>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</si>
  <si>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</si>
  <si>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</si>
  <si>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r>
      <t xml:space="preserve">FFY Total Available 
</t>
    </r>
    <r>
      <rPr>
        <b/>
        <sz val="9"/>
        <color rgb="FFFF0000"/>
        <rFont val="Arial Unicode MS"/>
        <family val="2"/>
      </rPr>
      <t xml:space="preserve">**LAPSES ON 6/30** </t>
    </r>
    <r>
      <rPr>
        <sz val="9"/>
        <rFont val="Arial Unicode MS"/>
        <family val="2"/>
      </rPr>
      <t>/13</t>
    </r>
  </si>
  <si>
    <t>From</t>
  </si>
  <si>
    <t>To</t>
  </si>
  <si>
    <t>Project8</t>
  </si>
  <si>
    <t>Notes</t>
  </si>
  <si>
    <t>000</t>
  </si>
  <si>
    <t>DECLINING BALANCE OA</t>
  </si>
  <si>
    <t>Yuma Metropolitan Planning Organization</t>
  </si>
  <si>
    <t>YMPO</t>
  </si>
  <si>
    <t>C</t>
  </si>
  <si>
    <t>PL00120P</t>
  </si>
  <si>
    <t>72914</t>
  </si>
  <si>
    <t>YMPO METROPOLITAN PLANNING FUNDS</t>
  </si>
  <si>
    <t>184</t>
  </si>
  <si>
    <t>PS00120P</t>
  </si>
  <si>
    <t>NA</t>
  </si>
  <si>
    <t>YMPO SPR</t>
  </si>
  <si>
    <t>M</t>
  </si>
  <si>
    <t>SH51201C</t>
  </si>
  <si>
    <t>YMPO AMD#8 2011-2014</t>
  </si>
  <si>
    <t xml:space="preserve">YUMA COUNTY                   </t>
  </si>
  <si>
    <t>OLD US HWY 80</t>
  </si>
  <si>
    <t>YCT</t>
  </si>
  <si>
    <t>0</t>
  </si>
  <si>
    <t>207</t>
  </si>
  <si>
    <t>SH51301C</t>
  </si>
  <si>
    <t>SOMERTON</t>
  </si>
  <si>
    <t>CITY OF SOMERTON VARIOUS LOCATIONS</t>
  </si>
  <si>
    <t>S0M</t>
  </si>
  <si>
    <t>206</t>
  </si>
  <si>
    <t>SZ06101C</t>
  </si>
  <si>
    <t>YU-14-01C</t>
  </si>
  <si>
    <t>COUNTY 14TH ST AVENUE 3E TO AVENUE A</t>
  </si>
  <si>
    <t>WEL-14-01D</t>
  </si>
  <si>
    <t>WELLTON</t>
  </si>
  <si>
    <t>COYOTE WASH MULTIUSE PATH</t>
  </si>
  <si>
    <t>WEL</t>
  </si>
  <si>
    <t>SOM-14-02D</t>
  </si>
  <si>
    <t>Somerton; Hwy 95 Pavement Preservation</t>
  </si>
  <si>
    <t>SH58501C</t>
  </si>
  <si>
    <t>LOCAL</t>
  </si>
  <si>
    <t>YUMA</t>
  </si>
  <si>
    <t>YUMA SIGNAL</t>
  </si>
  <si>
    <t>YUM</t>
  </si>
  <si>
    <t>214</t>
  </si>
  <si>
    <t>Loan In</t>
  </si>
  <si>
    <t>Loan Out</t>
  </si>
  <si>
    <t>Repayment In</t>
  </si>
  <si>
    <t>Repayment Out</t>
  </si>
  <si>
    <t>The  OA to apportionments for FFY 14 is  NOW 94.9%. Congress has provided the remainder of the OA for the federal fiscal year. As of 2/28/14 previous ledgers were estimating OA at 95.5%.</t>
  </si>
  <si>
    <t>RLTAP19P</t>
  </si>
  <si>
    <t>ADOT</t>
  </si>
  <si>
    <t>AZ LTAP</t>
  </si>
  <si>
    <t>094</t>
  </si>
  <si>
    <t>A</t>
  </si>
  <si>
    <t>420</t>
  </si>
  <si>
    <t>182</t>
  </si>
  <si>
    <t>SS96901C</t>
  </si>
  <si>
    <t>AMD#75-YR2011-14</t>
  </si>
  <si>
    <t>SAN LUIS</t>
  </si>
  <si>
    <t>Juan Sanchez Blvd (Co. 23rd St); Ave H to Aven F in SAN LUIS</t>
  </si>
  <si>
    <t>SLS</t>
  </si>
  <si>
    <t>200</t>
  </si>
  <si>
    <t>SZ01601C</t>
  </si>
  <si>
    <t>SAN-12-08C</t>
  </si>
  <si>
    <t>WIDENING AVE E FROM COUNTY 25TH STREET TO SR195</t>
  </si>
  <si>
    <t>201</t>
  </si>
  <si>
    <t>SL64401C</t>
  </si>
  <si>
    <t>US 95, Somerton to Bingham Ave.</t>
  </si>
  <si>
    <t>PL00119P</t>
  </si>
  <si>
    <t>2014</t>
  </si>
  <si>
    <t>NACOG14-L004</t>
  </si>
  <si>
    <t>NACOG</t>
  </si>
  <si>
    <t>2019</t>
  </si>
  <si>
    <t>2014 LOAN FROM NACOG TO YMPO</t>
  </si>
  <si>
    <t>REPAYMENT OF 2014 LOAN FROM NACOG TO YMPO</t>
  </si>
  <si>
    <t>SZ07701D</t>
  </si>
  <si>
    <t>PYMHS01P</t>
  </si>
  <si>
    <t>YMPO HWY Safety Improv Prog - Project Charges</t>
  </si>
  <si>
    <t>999</t>
  </si>
  <si>
    <t>453</t>
  </si>
  <si>
    <t>PYMHS02P</t>
  </si>
  <si>
    <t>YMPO HWY Safety Improv Prog - ADOT Exp</t>
  </si>
  <si>
    <t>VARIOUS / CAG 14-02P</t>
  </si>
  <si>
    <t>SS86101C</t>
  </si>
  <si>
    <t>I-8S Frn Rd, Ave 8-1/2E-Fortuna</t>
  </si>
  <si>
    <t>YYU</t>
  </si>
  <si>
    <t>202</t>
  </si>
  <si>
    <t>YMPO14-L001</t>
  </si>
  <si>
    <t>SEAGO</t>
  </si>
  <si>
    <t>2016</t>
  </si>
  <si>
    <t>YMPO HSIP LOAN TO SEAGO</t>
  </si>
  <si>
    <t>SEAGO REPAYMENT OF 2014 HSIP LOAN FROM YMPO</t>
  </si>
  <si>
    <t>YMPO14-L002</t>
  </si>
  <si>
    <t>ADOT STP LOAN TO YMPO</t>
  </si>
  <si>
    <t>2015</t>
  </si>
  <si>
    <t>YMPO REPAYMENT OF 2014 STP LOAN FROM ADOT</t>
  </si>
  <si>
    <t>2015,16,19</t>
  </si>
  <si>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</si>
  <si>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Current FFY
Apportionments /5</t>
  </si>
  <si>
    <t>YMPO)--METRO PLANNING FUNDS FOR FY 2013 WORK PROGRAM</t>
  </si>
  <si>
    <t>35614 / SOM-TE-02</t>
  </si>
  <si>
    <t>Planned Lapsing - 06/30/14</t>
  </si>
  <si>
    <t>Lapsed - 07/01/14</t>
  </si>
  <si>
    <t>Planned Lapsing - 09/30/14</t>
  </si>
  <si>
    <t>Lapsing</t>
  </si>
  <si>
    <t>YMPO-LP01</t>
  </si>
  <si>
    <t>None</t>
  </si>
  <si>
    <t>YMPO LAPSING FUNDS - FFY14</t>
  </si>
  <si>
    <t>SZ11301D</t>
  </si>
  <si>
    <t>PL00121P</t>
  </si>
  <si>
    <t>YMPO PL</t>
  </si>
  <si>
    <t>c</t>
  </si>
  <si>
    <t>186</t>
  </si>
  <si>
    <t>PS00121P</t>
  </si>
  <si>
    <t>Federal Aid Transaction Ledger
Federal Fiscal Year 2014</t>
  </si>
  <si>
    <t>Year ending 09/30/2014 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</si>
</sst>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43" formatCode="_(* #,##0.00_);_(* \(#,##0.00\);_(*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sz val="8"/>
      <name val="Wingdings"/>
      <charset val="2"/>
    </font>
    <font>
      <sz val="10"/>
      <color indexed="8"/>
      <name val="Arial"/>
      <family val="2"/>
    </font>
    <font>
      <sz val="11"/>
      <color indexed="8"/>
      <name val="Calibri"/>
      <family val="2"/>
    </font>
    <font>
      <b/>
      <sz val="10"/>
      <name val="Calibri"/>
      <family val="2"/>
      <scheme val="minor"/>
    </font>
    <font>
      <b/>
      <i/>
      <sz val="11"/>
      <color theme="1"/>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9"/>
      <color theme="1"/>
      <name val="Arial Unicode MS"/>
    </font>
    <font>
      <sz val="9"/>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FABF8F"/>
        <bgColor indexed="64"/>
      </patternFill>
    </fill>
    <fill>
      <patternFill patternType="solid">
        <fgColor rgb="FFFABF8F"/>
        <bgColor theme="8"/>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cellStyleXfs>
  <cellXfs count="172">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9"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12"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4" fillId="0" borderId="0" xfId="0" applyFont="1" applyAlignment="1">
      <alignment vertical="top" wrapText="1"/>
    </xf>
    <xf numFmtId="14" fontId="14" fillId="0" borderId="0" xfId="0" applyNumberFormat="1" applyFont="1" applyAlignment="1">
      <alignment vertical="top" wrapText="1"/>
    </xf>
    <xf numFmtId="14" fontId="15" fillId="0" borderId="0" xfId="0" applyNumberFormat="1" applyFont="1" applyAlignment="1">
      <alignment horizontal="center" vertical="center" wrapText="1"/>
    </xf>
    <xf numFmtId="40" fontId="14" fillId="0" borderId="0" xfId="0" applyNumberFormat="1" applyFont="1" applyAlignment="1">
      <alignment vertical="top" wrapText="1"/>
    </xf>
    <xf numFmtId="40" fontId="14" fillId="0" borderId="0" xfId="1" applyNumberFormat="1" applyFont="1" applyAlignment="1">
      <alignment vertical="top" wrapText="1"/>
    </xf>
    <xf numFmtId="0" fontId="16" fillId="0" borderId="0" xfId="0" applyFont="1" applyAlignment="1">
      <alignment vertical="top" wrapText="1"/>
    </xf>
    <xf numFmtId="40" fontId="19" fillId="2" borderId="16" xfId="1" applyNumberFormat="1" applyFont="1" applyFill="1" applyBorder="1" applyAlignment="1">
      <alignment horizontal="center" vertical="center" wrapText="1"/>
    </xf>
    <xf numFmtId="0" fontId="16" fillId="0" borderId="0" xfId="0" applyFont="1" applyAlignment="1">
      <alignment horizontal="left" vertical="top" wrapText="1"/>
    </xf>
    <xf numFmtId="40" fontId="20" fillId="0" borderId="3" xfId="0" applyNumberFormat="1" applyFont="1" applyFill="1" applyBorder="1" applyAlignment="1">
      <alignment horizontal="right" vertical="top" wrapText="1"/>
    </xf>
    <xf numFmtId="40" fontId="20" fillId="0" borderId="1" xfId="0" applyNumberFormat="1" applyFont="1" applyFill="1" applyBorder="1" applyAlignment="1">
      <alignment horizontal="right" vertical="top" wrapText="1"/>
    </xf>
    <xf numFmtId="40" fontId="20" fillId="0" borderId="4" xfId="0" applyNumberFormat="1" applyFont="1" applyFill="1" applyBorder="1" applyAlignment="1">
      <alignment horizontal="right" vertical="top" wrapText="1"/>
    </xf>
    <xf numFmtId="49" fontId="14" fillId="0" borderId="0" xfId="1" applyNumberFormat="1" applyFont="1" applyAlignment="1">
      <alignment vertical="top" wrapText="1"/>
    </xf>
    <xf numFmtId="40" fontId="20" fillId="0" borderId="3" xfId="0" applyNumberFormat="1" applyFont="1" applyFill="1" applyBorder="1" applyAlignment="1">
      <alignment vertical="top" wrapText="1"/>
    </xf>
    <xf numFmtId="40" fontId="24" fillId="0" borderId="0" xfId="0" applyNumberFormat="1" applyFont="1" applyFill="1" applyBorder="1" applyAlignment="1">
      <alignment vertical="top" wrapText="1"/>
    </xf>
    <xf numFmtId="14" fontId="14" fillId="0" borderId="0" xfId="0" applyNumberFormat="1" applyFont="1" applyAlignment="1">
      <alignment horizontal="left" vertical="center" wrapText="1"/>
    </xf>
    <xf numFmtId="0" fontId="14" fillId="0" borderId="0" xfId="0" applyFont="1" applyAlignment="1">
      <alignment horizontal="left" vertical="top" wrapText="1"/>
    </xf>
    <xf numFmtId="40" fontId="26" fillId="0" borderId="3" xfId="0" applyNumberFormat="1" applyFont="1" applyFill="1" applyBorder="1" applyAlignment="1">
      <alignment horizontal="right" vertical="top" wrapText="1"/>
    </xf>
    <xf numFmtId="40" fontId="26" fillId="0" borderId="1" xfId="0" applyNumberFormat="1" applyFont="1" applyFill="1" applyBorder="1" applyAlignment="1">
      <alignment horizontal="right" vertical="top" wrapText="1"/>
    </xf>
    <xf numFmtId="40" fontId="23" fillId="0" borderId="0" xfId="0" applyNumberFormat="1" applyFont="1" applyBorder="1" applyAlignment="1">
      <alignment horizontal="left" vertical="top" wrapText="1"/>
    </xf>
    <xf numFmtId="40" fontId="23" fillId="0" borderId="0" xfId="0" applyNumberFormat="1" applyFont="1" applyFill="1" applyBorder="1" applyAlignment="1">
      <alignment horizontal="right" vertical="top" wrapText="1"/>
    </xf>
    <xf numFmtId="40" fontId="16" fillId="0" borderId="0" xfId="0" applyNumberFormat="1" applyFont="1" applyBorder="1" applyAlignment="1">
      <alignment vertical="top" wrapText="1"/>
    </xf>
    <xf numFmtId="40" fontId="24" fillId="0" borderId="0" xfId="0" applyNumberFormat="1" applyFont="1" applyBorder="1" applyAlignment="1">
      <alignment vertical="top" wrapText="1"/>
    </xf>
    <xf numFmtId="40" fontId="18" fillId="0" borderId="0" xfId="0" applyNumberFormat="1" applyFont="1" applyBorder="1" applyAlignment="1">
      <alignment horizontal="center" vertical="center" wrapText="1"/>
    </xf>
    <xf numFmtId="40" fontId="17" fillId="0" borderId="0" xfId="0" applyNumberFormat="1" applyFont="1" applyBorder="1" applyAlignment="1">
      <alignment horizontal="center" vertical="center" wrapText="1"/>
    </xf>
    <xf numFmtId="0" fontId="14" fillId="0" borderId="0" xfId="0" applyFont="1" applyBorder="1" applyAlignment="1">
      <alignment vertical="top" wrapText="1"/>
    </xf>
    <xf numFmtId="14" fontId="14" fillId="0" borderId="0" xfId="0" applyNumberFormat="1" applyFont="1" applyBorder="1" applyAlignment="1">
      <alignment vertical="top" wrapText="1"/>
    </xf>
    <xf numFmtId="40" fontId="14" fillId="0" borderId="0" xfId="0" applyNumberFormat="1" applyFont="1" applyBorder="1" applyAlignment="1">
      <alignment vertical="top" wrapText="1"/>
    </xf>
    <xf numFmtId="0" fontId="20" fillId="0" borderId="0" xfId="0" applyFont="1" applyBorder="1" applyAlignment="1">
      <alignment vertical="top" wrapText="1"/>
    </xf>
    <xf numFmtId="0" fontId="24" fillId="0" borderId="0" xfId="0" applyFont="1" applyBorder="1" applyAlignment="1">
      <alignment vertical="top" wrapText="1"/>
    </xf>
    <xf numFmtId="0" fontId="24" fillId="0" borderId="0" xfId="0" applyFont="1" applyBorder="1" applyAlignment="1">
      <alignment horizontal="center" vertical="center" wrapText="1"/>
    </xf>
    <xf numFmtId="40" fontId="24" fillId="0" borderId="0" xfId="0" applyNumberFormat="1" applyFont="1" applyBorder="1"/>
    <xf numFmtId="40" fontId="24" fillId="0" borderId="0" xfId="0" applyNumberFormat="1" applyFont="1" applyBorder="1" applyAlignment="1">
      <alignment horizontal="center" vertical="center" wrapText="1"/>
    </xf>
    <xf numFmtId="40" fontId="20" fillId="0" borderId="0" xfId="0" applyNumberFormat="1" applyFont="1" applyBorder="1" applyAlignment="1">
      <alignment vertical="top" wrapText="1"/>
    </xf>
    <xf numFmtId="0" fontId="28" fillId="0" borderId="0" xfId="0" applyFont="1" applyAlignment="1">
      <alignment horizontal="left" vertical="top"/>
    </xf>
    <xf numFmtId="43" fontId="0" fillId="0" borderId="1" xfId="3" applyFont="1" applyBorder="1"/>
    <xf numFmtId="43" fontId="13" fillId="0" borderId="1" xfId="3" applyFont="1" applyBorder="1"/>
    <xf numFmtId="43" fontId="0" fillId="0" borderId="10" xfId="3" applyFont="1" applyBorder="1"/>
    <xf numFmtId="43" fontId="13" fillId="0" borderId="10" xfId="3" applyFont="1" applyBorder="1"/>
    <xf numFmtId="43" fontId="13" fillId="0" borderId="2" xfId="3" applyFont="1" applyBorder="1"/>
    <xf numFmtId="43" fontId="13" fillId="0" borderId="11" xfId="3" applyFont="1" applyBorder="1"/>
    <xf numFmtId="43" fontId="13" fillId="0" borderId="6" xfId="3" applyFont="1" applyBorder="1"/>
    <xf numFmtId="43" fontId="13" fillId="0" borderId="7" xfId="3" applyFont="1" applyBorder="1"/>
    <xf numFmtId="14" fontId="0" fillId="0" borderId="0" xfId="3" applyNumberFormat="1" applyFont="1" applyAlignment="1">
      <alignment horizontal="left" vertical="center" wrapText="1"/>
    </xf>
    <xf numFmtId="14" fontId="19" fillId="0" borderId="9" xfId="1" applyNumberFormat="1" applyFont="1" applyFill="1" applyBorder="1" applyAlignment="1">
      <alignment horizontal="center" vertical="center" wrapText="1"/>
    </xf>
    <xf numFmtId="40" fontId="19" fillId="0" borderId="14" xfId="1" applyNumberFormat="1" applyFont="1" applyFill="1" applyBorder="1" applyAlignment="1">
      <alignment horizontal="center" vertical="center" wrapText="1"/>
    </xf>
    <xf numFmtId="40" fontId="19" fillId="0" borderId="5" xfId="1" applyNumberFormat="1" applyFont="1" applyFill="1" applyBorder="1" applyAlignment="1">
      <alignment horizontal="center" vertical="center" wrapText="1"/>
    </xf>
    <xf numFmtId="40" fontId="19" fillId="0" borderId="15" xfId="1" applyNumberFormat="1" applyFont="1" applyFill="1" applyBorder="1" applyAlignment="1">
      <alignment horizontal="center" vertical="center" wrapText="1"/>
    </xf>
    <xf numFmtId="43" fontId="13" fillId="0" borderId="0" xfId="3" applyFont="1" applyBorder="1"/>
    <xf numFmtId="43" fontId="13" fillId="0" borderId="0" xfId="3" applyFont="1"/>
    <xf numFmtId="43" fontId="0" fillId="0" borderId="8" xfId="3" applyFont="1" applyBorder="1"/>
    <xf numFmtId="43" fontId="0" fillId="0" borderId="5" xfId="3" applyFont="1" applyBorder="1"/>
    <xf numFmtId="43" fontId="0" fillId="0" borderId="9" xfId="3" applyFont="1" applyBorder="1"/>
    <xf numFmtId="40" fontId="26" fillId="0" borderId="4" xfId="0" applyNumberFormat="1" applyFont="1" applyFill="1" applyBorder="1" applyAlignment="1">
      <alignment horizontal="right" vertical="top" wrapText="1"/>
    </xf>
    <xf numFmtId="40" fontId="20" fillId="0" borderId="1" xfId="0" applyNumberFormat="1" applyFont="1" applyBorder="1" applyAlignment="1">
      <alignment horizontal="right" vertical="top" wrapText="1"/>
    </xf>
    <xf numFmtId="40" fontId="19" fillId="0" borderId="8" xfId="1" applyNumberFormat="1" applyFont="1" applyFill="1" applyBorder="1" applyAlignment="1">
      <alignment horizontal="center" vertical="center" wrapText="1"/>
    </xf>
    <xf numFmtId="40" fontId="20" fillId="0" borderId="10" xfId="0" applyNumberFormat="1" applyFont="1" applyFill="1" applyBorder="1" applyAlignment="1">
      <alignment horizontal="right" vertical="top" wrapText="1"/>
    </xf>
    <xf numFmtId="40" fontId="27" fillId="0" borderId="0" xfId="0" applyNumberFormat="1" applyFont="1" applyBorder="1" applyAlignment="1">
      <alignment horizontal="left" vertical="top" wrapText="1"/>
    </xf>
    <xf numFmtId="14" fontId="20" fillId="0" borderId="0" xfId="0" applyNumberFormat="1" applyFont="1" applyBorder="1" applyAlignment="1">
      <alignment horizontal="center"/>
    </xf>
    <xf numFmtId="14" fontId="26" fillId="0" borderId="0" xfId="0" applyNumberFormat="1" applyFont="1" applyBorder="1" applyAlignment="1">
      <alignment horizontal="right" vertical="top" wrapText="1"/>
    </xf>
    <xf numFmtId="40" fontId="20" fillId="0" borderId="0" xfId="0" applyNumberFormat="1" applyFont="1" applyBorder="1" applyAlignment="1">
      <alignment horizontal="center" vertical="center" wrapText="1"/>
    </xf>
    <xf numFmtId="40" fontId="26" fillId="0" borderId="5" xfId="0" applyNumberFormat="1" applyFont="1" applyBorder="1" applyAlignment="1">
      <alignment horizontal="right" vertical="top" wrapText="1"/>
    </xf>
    <xf numFmtId="40" fontId="26" fillId="0" borderId="1" xfId="0" applyNumberFormat="1" applyFont="1" applyBorder="1" applyAlignment="1">
      <alignment horizontal="right" vertical="top" wrapText="1"/>
    </xf>
    <xf numFmtId="14" fontId="20" fillId="0" borderId="0" xfId="0" applyNumberFormat="1" applyFont="1" applyAlignment="1">
      <alignment vertical="top" wrapText="1"/>
    </xf>
    <xf numFmtId="40" fontId="27" fillId="2" borderId="0" xfId="0" applyNumberFormat="1" applyFont="1" applyFill="1" applyBorder="1" applyAlignment="1">
      <alignment horizontal="center" vertical="center" wrapText="1"/>
    </xf>
    <xf numFmtId="40" fontId="20" fillId="0" borderId="3" xfId="0" applyNumberFormat="1" applyFont="1" applyBorder="1" applyAlignment="1">
      <alignment horizontal="right" vertical="top" wrapText="1"/>
    </xf>
    <xf numFmtId="40" fontId="20" fillId="0" borderId="4" xfId="0" applyNumberFormat="1" applyFont="1" applyBorder="1" applyAlignment="1">
      <alignment horizontal="right" vertical="top" wrapText="1"/>
    </xf>
    <xf numFmtId="14" fontId="20" fillId="0" borderId="2" xfId="0" applyNumberFormat="1" applyFont="1" applyBorder="1" applyAlignment="1">
      <alignment horizontal="left" vertical="top" wrapText="1"/>
    </xf>
    <xf numFmtId="14" fontId="20" fillId="0" borderId="2" xfId="0" applyNumberFormat="1" applyFont="1" applyFill="1" applyBorder="1" applyAlignment="1">
      <alignment horizontal="left" vertical="top" wrapText="1"/>
    </xf>
    <xf numFmtId="14" fontId="26" fillId="0" borderId="2" xfId="0" applyNumberFormat="1" applyFont="1" applyBorder="1" applyAlignment="1">
      <alignment horizontal="left" vertical="top" wrapText="1"/>
    </xf>
    <xf numFmtId="40" fontId="20" fillId="0" borderId="0" xfId="0" applyNumberFormat="1" applyFont="1" applyBorder="1" applyAlignment="1">
      <alignment horizontal="right" vertical="top"/>
    </xf>
    <xf numFmtId="40" fontId="20" fillId="0" borderId="10" xfId="0" applyNumberFormat="1" applyFont="1" applyBorder="1" applyAlignment="1">
      <alignment horizontal="right" vertical="top" wrapText="1"/>
    </xf>
    <xf numFmtId="14" fontId="20" fillId="0" borderId="0" xfId="0" applyNumberFormat="1" applyFont="1" applyBorder="1" applyAlignment="1">
      <alignment horizontal="center" vertical="center"/>
    </xf>
    <xf numFmtId="40" fontId="20" fillId="0" borderId="0" xfId="0" applyNumberFormat="1" applyFont="1" applyBorder="1" applyAlignment="1">
      <alignment horizontal="center" vertical="center"/>
    </xf>
    <xf numFmtId="14" fontId="20" fillId="2" borderId="0" xfId="0" applyNumberFormat="1" applyFont="1" applyFill="1" applyBorder="1" applyAlignment="1">
      <alignment horizontal="center" vertical="center" wrapText="1"/>
    </xf>
    <xf numFmtId="14" fontId="27" fillId="0" borderId="0" xfId="0" applyNumberFormat="1" applyFont="1" applyAlignment="1">
      <alignment horizontal="right" vertical="top" wrapText="1"/>
    </xf>
    <xf numFmtId="43" fontId="14" fillId="0" borderId="0" xfId="3" applyFont="1" applyAlignment="1">
      <alignment vertical="top" wrapText="1"/>
    </xf>
    <xf numFmtId="43" fontId="30" fillId="0" borderId="0" xfId="3" applyFont="1"/>
    <xf numFmtId="43" fontId="30" fillId="0" borderId="10" xfId="3" applyFont="1" applyBorder="1"/>
    <xf numFmtId="43" fontId="30" fillId="0" borderId="1" xfId="3" applyFont="1" applyBorder="1"/>
    <xf numFmtId="43" fontId="30" fillId="0" borderId="2" xfId="3" applyFont="1" applyBorder="1"/>
    <xf numFmtId="40" fontId="27" fillId="0" borderId="0" xfId="0" applyNumberFormat="1" applyFont="1" applyAlignment="1">
      <alignment horizontal="left" vertical="top" wrapText="1"/>
    </xf>
    <xf numFmtId="40" fontId="20" fillId="0" borderId="0" xfId="0" applyNumberFormat="1" applyFont="1" applyAlignment="1">
      <alignment horizontal="right" vertical="top"/>
    </xf>
    <xf numFmtId="0" fontId="20" fillId="0" borderId="0" xfId="0" applyFont="1" applyAlignment="1">
      <alignment vertical="top" wrapText="1"/>
    </xf>
    <xf numFmtId="0" fontId="20" fillId="0" borderId="0" xfId="0" applyFont="1" applyBorder="1" applyAlignment="1">
      <alignment horizontal="center" vertical="center" wrapText="1"/>
    </xf>
    <xf numFmtId="40" fontId="20" fillId="0" borderId="20" xfId="0" applyNumberFormat="1" applyFont="1" applyFill="1" applyBorder="1" applyAlignment="1">
      <alignment vertical="top" wrapText="1"/>
    </xf>
    <xf numFmtId="40" fontId="20" fillId="0" borderId="10" xfId="0" applyNumberFormat="1" applyFont="1" applyFill="1" applyBorder="1" applyAlignment="1">
      <alignment vertical="top" wrapText="1"/>
    </xf>
    <xf numFmtId="40" fontId="20" fillId="0" borderId="1" xfId="0" applyNumberFormat="1" applyFont="1" applyFill="1" applyBorder="1" applyAlignment="1">
      <alignment vertical="top" wrapText="1"/>
    </xf>
    <xf numFmtId="40" fontId="26" fillId="0" borderId="20" xfId="0" applyNumberFormat="1" applyFont="1" applyFill="1" applyBorder="1" applyAlignment="1">
      <alignment horizontal="right" vertical="top" wrapText="1"/>
    </xf>
    <xf numFmtId="14" fontId="22" fillId="0" borderId="0" xfId="0" applyNumberFormat="1" applyFont="1" applyBorder="1" applyAlignment="1">
      <alignment horizontal="right" vertical="top"/>
    </xf>
    <xf numFmtId="14" fontId="26" fillId="0" borderId="0" xfId="0" applyNumberFormat="1" applyFont="1" applyBorder="1" applyAlignment="1">
      <alignment horizontal="right" vertical="top"/>
    </xf>
    <xf numFmtId="40" fontId="20" fillId="0" borderId="1" xfId="0" applyNumberFormat="1" applyFont="1" applyBorder="1" applyAlignment="1">
      <alignment horizontal="right" vertical="top"/>
    </xf>
    <xf numFmtId="40" fontId="20" fillId="4" borderId="1" xfId="0" applyNumberFormat="1" applyFont="1" applyFill="1" applyBorder="1" applyAlignment="1">
      <alignment horizontal="right" vertical="top"/>
    </xf>
    <xf numFmtId="43" fontId="31" fillId="0" borderId="0" xfId="3" applyFont="1"/>
    <xf numFmtId="43" fontId="31" fillId="0" borderId="11" xfId="3" applyFont="1" applyBorder="1"/>
    <xf numFmtId="43" fontId="31" fillId="0" borderId="6" xfId="3" applyFont="1" applyBorder="1"/>
    <xf numFmtId="43" fontId="31" fillId="0" borderId="7" xfId="3" applyFont="1" applyBorder="1"/>
    <xf numFmtId="40" fontId="20" fillId="0" borderId="1" xfId="0" applyNumberFormat="1" applyFont="1" applyFill="1" applyBorder="1" applyAlignment="1">
      <alignment horizontal="right" vertical="top"/>
    </xf>
    <xf numFmtId="40" fontId="20" fillId="0" borderId="0" xfId="0" applyNumberFormat="1" applyFont="1" applyBorder="1" applyAlignment="1">
      <alignment vertical="top"/>
    </xf>
    <xf numFmtId="40" fontId="20" fillId="0" borderId="5" xfId="0" applyNumberFormat="1" applyFont="1" applyBorder="1" applyAlignment="1">
      <alignment horizontal="right" vertical="top"/>
    </xf>
    <xf numFmtId="43" fontId="20" fillId="0" borderId="0" xfId="0" applyNumberFormat="1" applyFont="1" applyBorder="1" applyAlignment="1">
      <alignment vertical="top"/>
    </xf>
    <xf numFmtId="40" fontId="20" fillId="0" borderId="1" xfId="0" applyNumberFormat="1" applyFont="1" applyBorder="1" applyAlignment="1">
      <alignment vertical="top"/>
    </xf>
    <xf numFmtId="40" fontId="27" fillId="0" borderId="0" xfId="0" applyNumberFormat="1" applyFont="1" applyBorder="1" applyAlignment="1">
      <alignment horizontal="right" vertical="top"/>
    </xf>
    <xf numFmtId="40" fontId="27" fillId="0" borderId="0" xfId="0" applyNumberFormat="1" applyFont="1" applyAlignment="1">
      <alignment horizontal="right" vertical="top"/>
    </xf>
    <xf numFmtId="0" fontId="20" fillId="0" borderId="0" xfId="0" applyFont="1" applyBorder="1" applyAlignment="1">
      <alignment vertical="top"/>
    </xf>
    <xf numFmtId="40" fontId="26" fillId="0" borderId="0" xfId="0" applyNumberFormat="1" applyFont="1" applyBorder="1" applyAlignment="1">
      <alignment vertical="top" wrapText="1"/>
    </xf>
    <xf numFmtId="40" fontId="19" fillId="5" borderId="6" xfId="0" applyNumberFormat="1" applyFont="1" applyFill="1" applyBorder="1" applyAlignment="1">
      <alignment horizontal="center" vertical="center" wrapText="1"/>
    </xf>
    <xf numFmtId="14" fontId="26" fillId="2" borderId="6" xfId="0" applyNumberFormat="1" applyFont="1" applyFill="1" applyBorder="1" applyAlignment="1">
      <alignment horizontal="center" vertical="center" wrapText="1"/>
    </xf>
    <xf numFmtId="40" fontId="32" fillId="0" borderId="0" xfId="0" applyNumberFormat="1" applyFont="1" applyAlignment="1">
      <alignment horizontal="right" vertical="top"/>
    </xf>
    <xf numFmtId="0" fontId="32" fillId="0" borderId="0" xfId="0" applyFont="1" applyAlignment="1">
      <alignment vertical="top" wrapText="1"/>
    </xf>
    <xf numFmtId="40" fontId="33" fillId="0" borderId="0" xfId="0" applyNumberFormat="1" applyFont="1" applyAlignment="1">
      <alignment horizontal="left" vertical="top" wrapText="1"/>
    </xf>
    <xf numFmtId="14" fontId="33" fillId="0" borderId="0" xfId="0" applyNumberFormat="1" applyFont="1" applyAlignment="1">
      <alignment horizontal="right" vertical="top" wrapText="1"/>
    </xf>
    <xf numFmtId="40" fontId="33" fillId="0" borderId="0" xfId="0" applyNumberFormat="1" applyFont="1" applyAlignment="1">
      <alignment horizontal="right" vertical="top"/>
    </xf>
    <xf numFmtId="40" fontId="23" fillId="0" borderId="12" xfId="0" applyNumberFormat="1" applyFont="1" applyBorder="1" applyAlignment="1">
      <alignment horizontal="center" vertical="top" wrapText="1"/>
    </xf>
    <xf numFmtId="0" fontId="5" fillId="0" borderId="0" xfId="0" applyFont="1" applyAlignment="1">
      <alignment horizontal="left" vertical="top" wrapText="1"/>
    </xf>
    <xf numFmtId="0" fontId="28" fillId="0" borderId="0" xfId="0" applyFont="1" applyAlignment="1">
      <alignment horizontal="left" vertical="top" wrapText="1"/>
    </xf>
    <xf numFmtId="0" fontId="14" fillId="0" borderId="0" xfId="0" applyFont="1" applyAlignment="1">
      <alignment horizontal="left" vertical="top" wrapText="1"/>
    </xf>
    <xf numFmtId="40" fontId="16" fillId="0" borderId="13" xfId="0" applyNumberFormat="1" applyFont="1" applyBorder="1" applyAlignment="1">
      <alignment horizontal="center" vertical="center" wrapText="1"/>
    </xf>
    <xf numFmtId="14" fontId="16" fillId="0" borderId="7" xfId="0" applyNumberFormat="1" applyFont="1" applyBorder="1" applyAlignment="1">
      <alignment horizontal="center" vertical="top" wrapText="1"/>
    </xf>
    <xf numFmtId="14" fontId="16" fillId="0" borderId="13" xfId="0" applyNumberFormat="1" applyFont="1" applyBorder="1" applyAlignment="1">
      <alignment horizontal="center" vertical="top" wrapText="1"/>
    </xf>
    <xf numFmtId="14" fontId="16" fillId="0" borderId="11" xfId="0" applyNumberFormat="1" applyFont="1" applyBorder="1" applyAlignment="1">
      <alignment horizontal="center" vertical="top" wrapText="1"/>
    </xf>
    <xf numFmtId="40" fontId="29" fillId="4" borderId="17" xfId="1" applyNumberFormat="1" applyFont="1" applyFill="1" applyBorder="1" applyAlignment="1">
      <alignment horizontal="center" vertical="center" wrapText="1"/>
    </xf>
    <xf numFmtId="40" fontId="29" fillId="4" borderId="18" xfId="1" applyNumberFormat="1" applyFont="1" applyFill="1" applyBorder="1" applyAlignment="1">
      <alignment horizontal="center" vertical="center" wrapText="1"/>
    </xf>
    <xf numFmtId="40" fontId="29" fillId="4" borderId="19" xfId="1" applyNumberFormat="1" applyFont="1" applyFill="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9" fillId="3" borderId="0" xfId="2" applyFont="1" applyFill="1" applyBorder="1" applyAlignment="1">
      <alignment horizontal="lef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xf numFmtId="14" fontId="0" fillId="0" borderId="0" xfId="0" applyNumberFormat="1" applyAlignment="1">
      <alignment horizontal="left" vertical="center" wrapText="1"/>
    </xf>
  </cellXfs>
  <cellStyles count="4">
    <cellStyle name="Comma" xfId="3" builtinId="3"/>
    <cellStyle name="Currency" xfId="1" builtinId="4"/>
    <cellStyle name="Normal" xfId="0" builtinId="0"/>
    <cellStyle name="Normal_Notes" xfId="2"/>
  </cellStyles>
  <dxfs count="105">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9" formatCode="m/d/yyyy"/>
      <alignment horizontal="righ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164"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ABF8F"/>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04"/>
      <tableStyleElement type="firstRowStripe" dxfId="103"/>
    </tableStyle>
    <tableStyle name="Table Style 2" pivot="0" count="1">
      <tableStyleElement type="firstRowStripe" dxfId="102"/>
    </tableStyle>
    <tableStyle name="Table Style 3" pivot="0" count="1">
      <tableStyleElement type="firstRowStripe" dxfId="101"/>
    </tableStyle>
    <tableStyle name="Table Style 4" pivot="0" count="3">
      <tableStyleElement type="wholeTable" dxfId="100"/>
      <tableStyleElement type="headerRow" dxfId="99"/>
      <tableStyleElement type="firstRowStripe" dxfId="98"/>
    </tableStyle>
  </tableStyles>
  <colors>
    <mruColors>
      <color rgb="FFFABF8F"/>
      <color rgb="FFF2DCDB"/>
      <color rgb="FFACEAAC"/>
      <color rgb="FFC9FFF5"/>
      <color rgb="FFFFCCFF"/>
      <color rgb="FFDDD9C4"/>
      <color rgb="FFA2B9E2"/>
      <color rgb="FFF4AF80"/>
      <color rgb="FFCFB8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0" unboundColumnsRight="2">
    <queryTableFields count="19">
      <queryTableField id="1" name="ADOT#" tableColumnId="1"/>
      <queryTableField id="2" name="TIP#" tableColumnId="2"/>
      <queryTableField id="3" name="Sponsor" tableColumnId="3"/>
      <queryTableField id="4" name="Action/15" tableColumnId="4"/>
      <queryTableField id="5" name="Location" tableColumnId="5"/>
      <queryTableField id="17" dataBound="0" tableColumnId="17"/>
      <queryTableField id="6" name="RTE" tableColumnId="6"/>
      <queryTableField id="7" name="SEC" tableColumnId="7"/>
      <queryTableField id="8" name="SEQ" tableColumnId="8"/>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PL" tableColumnId="14"/>
      <queryTableField id="15" name="SPR" tableColumnId="15"/>
      <queryTableField id="16" name="STP OTHER" tableColumnId="16"/>
      <queryTableField id="18" dataBound="0" tableColumnId="18"/>
      <queryTableField id="19" dataBound="0" tableColumnId="19"/>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0" unboundColumnsRight="2">
    <queryTableFields count="19">
      <queryTableField id="1" name="ADOT#" tableColumnId="1"/>
      <queryTableField id="2" name="TIP#" tableColumnId="2"/>
      <queryTableField id="3" name="Sponsor" tableColumnId="3"/>
      <queryTableField id="4" name="Action/15" tableColumnId="4"/>
      <queryTableField id="5" name="Location" tableColumnId="5"/>
      <queryTableField id="17" dataBound="0" tableColumnId="17"/>
      <queryTableField id="6" name="RTE" tableColumnId="6"/>
      <queryTableField id="7" name="SEC" tableColumnId="7"/>
      <queryTableField id="8" name="SEQ" tableColumnId="8"/>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PL" tableColumnId="14"/>
      <queryTableField id="15" name="SPR" tableColumnId="15"/>
      <queryTableField id="16" name="STP OTHER" tableColumnId="16"/>
      <queryTableField id="18" dataBound="0" tableColumnId="18"/>
      <queryTableField id="19" dataBound="0" tableColumnId="19"/>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3">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19" name="From" tableColumnId="4"/>
      <queryTableField id="20" name="To" tableColumnId="5"/>
      <queryTableField id="21" name="Project8" tableColumnId="7"/>
      <queryTableField id="22" name="Notes" tableColumnId="8"/>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7">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23" name="From" tableColumnId="43"/>
      <queryTableField id="24" name="To" tableColumnId="44"/>
      <queryTableField id="25" name="Project8" tableColumnId="45"/>
      <queryTableField id="26" name="Notes" tableColumnId="46"/>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S12" totalsRowShown="0" headerRowDxfId="97" dataDxfId="95" headerRowBorderDxfId="96" tableBorderDxfId="94" totalsRowBorderDxfId="93" headerRowCellStyle="Currency">
  <autoFilter ref="M3:S12"/>
  <tableColumns count="7">
    <tableColumn id="1" name="Description" dataDxfId="92"/>
    <tableColumn id="4" name="HSIP/3" dataDxfId="91"/>
    <tableColumn id="2" name="PL" dataDxfId="90"/>
    <tableColumn id="5" name="SPR /4" dataDxfId="89"/>
    <tableColumn id="6" name="STP other" dataDxfId="88"/>
    <tableColumn id="7" name="Total" dataDxfId="87"/>
    <tableColumn id="8" name="FFY OBLIGATION AUTHORITY /2" dataDxfId="86"/>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S34" tableType="queryTable" totalsRowShown="0" headerRowDxfId="85" dataDxfId="84" tableBorderDxfId="83">
  <autoFilter ref="A15:S34"/>
  <tableColumns count="19">
    <tableColumn id="1" uniqueName="1" name="ADOT#" queryTableFieldId="1" dataDxfId="82"/>
    <tableColumn id="2" uniqueName="2" name="TIP#" queryTableFieldId="2" dataDxfId="81"/>
    <tableColumn id="3" uniqueName="3" name="Sponsor" queryTableFieldId="3" dataDxfId="80"/>
    <tableColumn id="4" uniqueName="4" name="Action/15" queryTableFieldId="4" dataDxfId="79"/>
    <tableColumn id="5" uniqueName="5" name="Location" queryTableFieldId="5" dataDxfId="78"/>
    <tableColumn id="17" uniqueName="17" name="FED #" queryTableFieldId="17" dataDxfId="77">
      <calculatedColumnFormula>CONCATENATE(Table_Query_from_MS_Access_Database8[[#This Row],[RTE]],Table_Query_from_MS_Access_Database8[[#This Row],[SEC]],Table_Query_from_MS_Access_Database8[[#This Row],[SEQ]])</calculatedColumnFormula>
    </tableColumn>
    <tableColumn id="6" uniqueName="6" name="RTE" queryTableFieldId="6" dataDxfId="76"/>
    <tableColumn id="7" uniqueName="7" name="SEC" queryTableFieldId="7" dataDxfId="75"/>
    <tableColumn id="8" uniqueName="8" name="SEQ" queryTableFieldId="8" dataDxfId="74"/>
    <tableColumn id="9" uniqueName="9" name="PB Expected" queryTableFieldId="9" dataDxfId="73"/>
    <tableColumn id="10" uniqueName="10" name="PB Received" queryTableFieldId="10" dataDxfId="72"/>
    <tableColumn id="11" uniqueName="11" name="PF Transmitted" queryTableFieldId="11" dataDxfId="71"/>
    <tableColumn id="12" uniqueName="12" name="Finance Authorization" queryTableFieldId="12" dataDxfId="70"/>
    <tableColumn id="13" uniqueName="13" name="HSIP" queryTableFieldId="13" dataDxfId="69"/>
    <tableColumn id="14" uniqueName="14" name="PL" queryTableFieldId="14" dataDxfId="68"/>
    <tableColumn id="15" uniqueName="15" name="SPR" queryTableFieldId="15" dataDxfId="67"/>
    <tableColumn id="16" uniqueName="16" name="STP OTHER" queryTableFieldId="16" dataDxfId="66"/>
    <tableColumn id="18" uniqueName="18" name="TOTAL OF AMOUNT" queryTableFieldId="18" dataDxfId="65">
      <calculatedColumnFormula>+Table_Query_from_MS_Access_Database8[[#This Row],[HSIP]]+Table_Query_from_MS_Access_Database8[[#This Row],[PL]]+Table_Query_from_MS_Access_Database8[[#This Row],[SPR]]+Table_Query_from_MS_Access_Database8[[#This Row],[STP OTHER]]</calculatedColumnFormula>
    </tableColumn>
    <tableColumn id="19" uniqueName="19" name="DECLINING BALANCE OA" queryTableFieldId="19" dataDxfId="64">
      <calculatedColumnFormula>S12-Table_Query_from_MS_Access_Database8[TOTAL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39:S40" tableType="queryTable" totalsRowShown="0" headerRowDxfId="63" dataDxfId="62">
  <autoFilter ref="A39:S40"/>
  <tableColumns count="19">
    <tableColumn id="1" uniqueName="1" name="ADOT#" queryTableFieldId="1" dataDxfId="61"/>
    <tableColumn id="2" uniqueName="2" name="TIP#" queryTableFieldId="2" dataDxfId="60"/>
    <tableColumn id="3" uniqueName="3" name="Sponsor" queryTableFieldId="3" dataDxfId="59"/>
    <tableColumn id="4" uniqueName="4" name="Action/15" queryTableFieldId="4" dataDxfId="58"/>
    <tableColumn id="5" uniqueName="5" name="Location" queryTableFieldId="5" dataDxfId="57"/>
    <tableColumn id="17" uniqueName="17" name="FED #" queryTableFieldId="17" dataDxfId="56">
      <calculatedColumnFormula>CONCATENATE(Table_Query_from_MS_Access_Database_1[[#This Row],[RTE]],Table_Query_from_MS_Access_Database_1[[#This Row],[SEC]],Table_Query_from_MS_Access_Database_1[[#This Row],[SEQ]])</calculatedColumnFormula>
    </tableColumn>
    <tableColumn id="6" uniqueName="6" name="RTE" queryTableFieldId="6" dataDxfId="55"/>
    <tableColumn id="7" uniqueName="7" name="SEC" queryTableFieldId="7" dataDxfId="54"/>
    <tableColumn id="8" uniqueName="8" name="SEQ" queryTableFieldId="8" dataDxfId="53"/>
    <tableColumn id="9" uniqueName="9" name="PB Expected" queryTableFieldId="9" dataDxfId="52"/>
    <tableColumn id="10" uniqueName="10" name="PB Received" queryTableFieldId="10" dataDxfId="51"/>
    <tableColumn id="11" uniqueName="11" name="PF Transmitted" queryTableFieldId="11" dataDxfId="50"/>
    <tableColumn id="12" uniqueName="12" name="Finance Authorization" queryTableFieldId="12" dataDxfId="49"/>
    <tableColumn id="13" uniqueName="13" name="HSIP" queryTableFieldId="13" dataDxfId="48"/>
    <tableColumn id="14" uniqueName="14" name="PL" queryTableFieldId="14" dataDxfId="47"/>
    <tableColumn id="15" uniqueName="15" name="SPR" queryTableFieldId="15" dataDxfId="46"/>
    <tableColumn id="16" uniqueName="16" name="STP OTHER" queryTableFieldId="16" dataDxfId="45"/>
    <tableColumn id="18" uniqueName="18" name="TOTAL OF AMOUNT" queryTableFieldId="18" dataDxfId="44">
      <calculatedColumnFormula>+SUM(Table_Query_from_MS_Access_Database_1[[#This Row],[HSIP]:[STP OTHER]])</calculatedColumnFormula>
    </tableColumn>
    <tableColumn id="19" uniqueName="19" name="EXPECTED DECLINING BALANCE OA" queryTableFieldId="19" dataDxfId="43">
      <calculatedColumnFormula>S34-Table_Query_from_MS_Access_Database_1[TOTAL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R19" tableType="queryTable" totalsRowShown="0" headerRowDxfId="42" headerRowBorderDxfId="41" tableBorderDxfId="40" totalsRowBorderDxfId="39" headerRowCellStyle="Comma" dataCellStyle="Comma">
  <autoFilter ref="A11:R19"/>
  <tableColumns count="18">
    <tableColumn id="1" uniqueName="1" name="Transaction Year" queryTableFieldId="1" dataDxfId="38" dataCellStyle="Comma"/>
    <tableColumn id="2" uniqueName="2" name="Transaction Type" queryTableFieldId="2" dataDxfId="37" dataCellStyle="Comma"/>
    <tableColumn id="3" uniqueName="3" name="Number" queryTableFieldId="3" dataDxfId="36" dataCellStyle="Comma"/>
    <tableColumn id="6" uniqueName="6" name="Repayment Year" queryTableFieldId="6" dataDxfId="35" dataCellStyle="Comma"/>
    <tableColumn id="9" uniqueName="9" name="Total" queryTableFieldId="9" dataDxfId="34" dataCellStyle="Comma"/>
    <tableColumn id="10" uniqueName="10" name="CMAQ" queryTableFieldId="10" dataDxfId="33" dataCellStyle="Comma"/>
    <tableColumn id="11" uniqueName="11" name="CMAQ 2_5" queryTableFieldId="11" dataDxfId="32" dataCellStyle="Comma"/>
    <tableColumn id="12" uniqueName="12" name="HSIP" queryTableFieldId="12" dataDxfId="31" dataCellStyle="Comma"/>
    <tableColumn id="13" uniqueName="13" name="PL" queryTableFieldId="13" dataDxfId="30" dataCellStyle="Comma"/>
    <tableColumn id="14" uniqueName="14" name="SPR" queryTableFieldId="14" dataDxfId="29" dataCellStyle="Comma"/>
    <tableColumn id="15" uniqueName="15" name="STP other" queryTableFieldId="15" dataDxfId="28" dataCellStyle="Comma"/>
    <tableColumn id="16" uniqueName="16" name="STP over 200K" queryTableFieldId="16" dataDxfId="27" dataCellStyle="Comma"/>
    <tableColumn id="17" uniqueName="17" name="TA other" queryTableFieldId="17" dataDxfId="26" dataCellStyle="Comma"/>
    <tableColumn id="18" uniqueName="18" name="TA over 200K" queryTableFieldId="18" dataDxfId="25" dataCellStyle="Comma"/>
    <tableColumn id="4" uniqueName="4" name="From" queryTableFieldId="19" dataDxfId="24" dataCellStyle="Comma"/>
    <tableColumn id="5" uniqueName="5" name="To" queryTableFieldId="20" dataDxfId="23" dataCellStyle="Comma"/>
    <tableColumn id="7" uniqueName="7" name="Project8" queryTableFieldId="21" dataDxfId="22" dataCellStyle="Comma"/>
    <tableColumn id="8" uniqueName="8" name="Notes" queryTableFieldId="22" dataDxfId="2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24:R32" tableType="queryTable" totalsRowShown="0" headerRowDxfId="20" dataDxfId="19" tableBorderDxfId="18" headerRowCellStyle="Comma" dataCellStyle="Comma">
  <autoFilter ref="A24:R32"/>
  <tableColumns count="18">
    <tableColumn id="1" uniqueName="1" name="Transaction Year" queryTableFieldId="1" dataDxfId="17" dataCellStyle="Comma"/>
    <tableColumn id="2" uniqueName="2" name="Transaction Type" queryTableFieldId="2" dataDxfId="16" dataCellStyle="Comma"/>
    <tableColumn id="3" uniqueName="3" name="Number" queryTableFieldId="3" dataDxfId="15" dataCellStyle="Comma"/>
    <tableColumn id="6" uniqueName="6" name="Repayment Year" queryTableFieldId="6" dataDxfId="14" dataCellStyle="Comma"/>
    <tableColumn id="9" uniqueName="9" name="Total" queryTableFieldId="9" dataDxfId="13" dataCellStyle="Comma"/>
    <tableColumn id="10" uniqueName="10" name="CMAQ" queryTableFieldId="10" dataDxfId="12" dataCellStyle="Comma"/>
    <tableColumn id="11" uniqueName="11" name="CMAQ 2_5" queryTableFieldId="11" dataDxfId="11" dataCellStyle="Comma"/>
    <tableColumn id="12" uniqueName="12" name="HSIP" queryTableFieldId="12" dataDxfId="10" dataCellStyle="Comma"/>
    <tableColumn id="13" uniqueName="13" name="PL" queryTableFieldId="13" dataDxfId="9" dataCellStyle="Comma"/>
    <tableColumn id="14" uniqueName="14" name="SPR" queryTableFieldId="14" dataDxfId="8" dataCellStyle="Comma"/>
    <tableColumn id="15" uniqueName="15" name="STP other" queryTableFieldId="15" dataDxfId="7" dataCellStyle="Comma"/>
    <tableColumn id="16" uniqueName="16" name="STP over 200K" queryTableFieldId="16" dataDxfId="6" dataCellStyle="Comma"/>
    <tableColumn id="17" uniqueName="17" name="TA other" queryTableFieldId="17" dataDxfId="5" dataCellStyle="Comma"/>
    <tableColumn id="18" uniqueName="18" name="TA over 200K" queryTableFieldId="18" dataDxfId="4" dataCellStyle="Comma"/>
    <tableColumn id="43" uniqueName="43" name="From" queryTableFieldId="23" dataDxfId="3" dataCellStyle="Comma"/>
    <tableColumn id="44" uniqueName="44" name="To" queryTableFieldId="24" dataDxfId="2" dataCellStyle="Comma"/>
    <tableColumn id="45" uniqueName="45" name="Project8" queryTableFieldId="25" dataDxfId="1" dataCellStyle="Comma"/>
    <tableColumn id="46" uniqueName="46" name="Notes" queryTableFieldId="26" dataDxfId="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50"/>
  <sheetViews>
    <sheetView tabSelected="1" zoomScale="90" zoomScaleNormal="90" zoomScaleSheetLayoutView="115" workbookViewId="0">
      <selection sqref="A1:F1"/>
    </sheetView>
  </sheetViews>
  <sheetFormatPr defaultColWidth="32" defaultRowHeight="15.6" x14ac:dyDescent="0.3"/>
  <cols>
    <col min="1" max="1" width="12.77734375" style="33" customWidth="1"/>
    <col min="2" max="4" width="15.77734375" style="33" customWidth="1"/>
    <col min="5" max="5" width="40.77734375" style="33" customWidth="1"/>
    <col min="6" max="6" width="10.88671875" style="33" customWidth="1"/>
    <col min="7" max="7" width="9.109375" style="33" hidden="1" customWidth="1"/>
    <col min="8" max="9" width="9.33203125" style="33" hidden="1" customWidth="1"/>
    <col min="10" max="12" width="15.77734375" style="33" customWidth="1"/>
    <col min="13" max="13" width="23.77734375" style="33" customWidth="1"/>
    <col min="14" max="18" width="14.77734375" style="36" customWidth="1"/>
    <col min="19" max="19" width="18.77734375" style="36" customWidth="1"/>
    <col min="20" max="20" width="3.5546875" style="36" bestFit="1" customWidth="1"/>
    <col min="21" max="16384" width="32" style="33"/>
  </cols>
  <sheetData>
    <row r="1" spans="1:20" ht="24" thickBot="1" x14ac:dyDescent="0.35">
      <c r="A1" s="146" t="s">
        <v>110</v>
      </c>
      <c r="B1" s="146"/>
      <c r="C1" s="146"/>
      <c r="D1" s="146"/>
      <c r="E1" s="146"/>
      <c r="F1" s="146"/>
      <c r="J1" s="34"/>
      <c r="K1" s="35"/>
      <c r="L1" s="34"/>
      <c r="M1" s="58"/>
      <c r="N1" s="149" t="s">
        <v>94</v>
      </c>
      <c r="O1" s="149"/>
      <c r="P1" s="149"/>
      <c r="Q1" s="149"/>
      <c r="R1" s="149"/>
      <c r="S1" s="149"/>
      <c r="T1" s="59"/>
    </row>
    <row r="2" spans="1:20" ht="16.2" thickBot="1" x14ac:dyDescent="0.35">
      <c r="J2" s="34"/>
      <c r="K2" s="34"/>
      <c r="L2" s="34"/>
      <c r="M2" s="58"/>
      <c r="N2" s="153" t="s">
        <v>12</v>
      </c>
      <c r="O2" s="154"/>
      <c r="P2" s="154"/>
      <c r="Q2" s="154"/>
      <c r="R2" s="155"/>
      <c r="S2" s="59"/>
      <c r="T2" s="59"/>
    </row>
    <row r="3" spans="1:20" ht="26.4" x14ac:dyDescent="0.3">
      <c r="A3" s="167" t="s">
        <v>218</v>
      </c>
      <c r="B3" s="167"/>
      <c r="C3" s="167"/>
      <c r="D3" s="38"/>
      <c r="E3" s="38"/>
      <c r="F3" s="38"/>
      <c r="G3" s="38"/>
      <c r="J3" s="34"/>
      <c r="K3" s="108"/>
      <c r="L3" s="34"/>
      <c r="M3" s="76" t="s">
        <v>11</v>
      </c>
      <c r="N3" s="77" t="s">
        <v>73</v>
      </c>
      <c r="O3" s="87" t="s">
        <v>45</v>
      </c>
      <c r="P3" s="78" t="s">
        <v>63</v>
      </c>
      <c r="Q3" s="78" t="s">
        <v>6</v>
      </c>
      <c r="R3" s="79" t="s">
        <v>10</v>
      </c>
      <c r="S3" s="39" t="s">
        <v>15</v>
      </c>
      <c r="T3" s="37"/>
    </row>
    <row r="4" spans="1:20" ht="26.4" x14ac:dyDescent="0.3">
      <c r="A4" s="167"/>
      <c r="B4" s="167"/>
      <c r="C4" s="167"/>
      <c r="E4" s="40"/>
      <c r="F4" s="40"/>
      <c r="G4" s="40"/>
      <c r="J4" s="34"/>
      <c r="K4" s="34"/>
      <c r="L4" s="34"/>
      <c r="M4" s="99" t="s">
        <v>201</v>
      </c>
      <c r="N4" s="97">
        <v>0</v>
      </c>
      <c r="O4" s="103">
        <v>16072</v>
      </c>
      <c r="P4" s="86">
        <v>0</v>
      </c>
      <c r="Q4" s="42">
        <v>561607</v>
      </c>
      <c r="R4" s="98">
        <f>+SUM(Table1[[#This Row],[HSIP/3]:[STP other]])</f>
        <v>577679</v>
      </c>
      <c r="S4" s="97">
        <f>449691.24+15248.35</f>
        <v>464939.58999999997</v>
      </c>
      <c r="T4" s="37"/>
    </row>
    <row r="5" spans="1:20" ht="26.4" x14ac:dyDescent="0.3">
      <c r="A5" s="171" t="s">
        <v>219</v>
      </c>
      <c r="B5" s="171"/>
      <c r="C5" s="171"/>
      <c r="J5" s="34"/>
      <c r="K5" s="34"/>
      <c r="L5" s="34"/>
      <c r="M5" s="100" t="s">
        <v>202</v>
      </c>
      <c r="N5" s="41">
        <v>519767</v>
      </c>
      <c r="O5" s="88">
        <v>276687</v>
      </c>
      <c r="P5" s="42">
        <v>218750</v>
      </c>
      <c r="Q5" s="42">
        <v>1080229</v>
      </c>
      <c r="R5" s="43">
        <f>+SUM(Table1[[#This Row],[HSIP/3]:[STP other]])</f>
        <v>2095433</v>
      </c>
      <c r="S5" s="41">
        <f>+Table1[[#This Row],[Total]]*0.94875273887</f>
        <v>1988047.7978685808</v>
      </c>
      <c r="T5" s="44" t="s">
        <v>75</v>
      </c>
    </row>
    <row r="6" spans="1:20" x14ac:dyDescent="0.3">
      <c r="J6" s="34"/>
      <c r="K6" s="34"/>
      <c r="L6" s="34"/>
      <c r="M6" s="100" t="s">
        <v>83</v>
      </c>
      <c r="N6" s="117">
        <f>SUMIFS(Table_Query_from_MS_Access_Database[[#All],[HSIP]],Table_Query_from_MS_Access_Database[[#All],[Transaction Year]],"2014",Table_Query_from_MS_Access_Database[[#All],[Transaction Type]],"loan in")</f>
        <v>0</v>
      </c>
      <c r="O6" s="119">
        <f>SUMIFS(Table_Query_from_MS_Access_Database[[#All],[PL]],Table_Query_from_MS_Access_Database[[#All],[Transaction Year]],"2014",Table_Query_from_MS_Access_Database[[#All],[Transaction Type]],"loan in")</f>
        <v>0</v>
      </c>
      <c r="P6" s="119">
        <f>SUMIFS(Table_Query_from_MS_Access_Database[[#All],[SPR]],Table_Query_from_MS_Access_Database[[#All],[Transaction Year]],"2014",Table_Query_from_MS_Access_Database[[#All],[Transaction Type]],"loan in")</f>
        <v>0</v>
      </c>
      <c r="Q6" s="118">
        <f>SUMIFS(Table_Query_from_MS_Access_Database[[#All],[STP other]],Table_Query_from_MS_Access_Database[[#All],[Transaction Year]],"2014",Table_Query_from_MS_Access_Database[[#All],[Transaction Type]],"loan in")</f>
        <v>529267</v>
      </c>
      <c r="R6" s="43">
        <f t="shared" ref="R6:R12" si="0">SUM(N6:Q6)</f>
        <v>529267</v>
      </c>
      <c r="S6" s="45">
        <f>SUMIFS(Table_Query_from_MS_Access_Database_16[[#All],[Total]],Table_Query_from_MS_Access_Database_16[[#All],[Transaction Year]],"2014",Table_Query_from_MS_Access_Database_16[[#All],[Transaction Type]],"Loan In")</f>
        <v>529267</v>
      </c>
      <c r="T6" s="37"/>
    </row>
    <row r="7" spans="1:20" x14ac:dyDescent="0.3">
      <c r="A7" s="47"/>
      <c r="J7" s="34"/>
      <c r="K7" s="34"/>
      <c r="L7" s="34"/>
      <c r="M7" s="100" t="s">
        <v>84</v>
      </c>
      <c r="N7" s="117">
        <f>SUMIFS(Table_Query_from_MS_Access_Database[[#All],[HSIP]],Table_Query_from_MS_Access_Database[[#All],[Transaction Year]],"2014",Table_Query_from_MS_Access_Database[[#All],[Transaction Type]],"loan Out")</f>
        <v>-193259</v>
      </c>
      <c r="O7" s="119">
        <f>SUMIFS(Table_Query_from_MS_Access_Database[[#All],[PL]],Table_Query_from_MS_Access_Database[[#All],[Transaction Year]],"2014",Table_Query_from_MS_Access_Database[[#All],[Transaction Type]],"loan Out")</f>
        <v>0</v>
      </c>
      <c r="P7" s="119">
        <f>SUMIFS(Table_Query_from_MS_Access_Database[[#All],[SPR]],Table_Query_from_MS_Access_Database[[#All],[Transaction Year]],"2014",Table_Query_from_MS_Access_Database[[#All],[Transaction Type]],"loan Out")</f>
        <v>0</v>
      </c>
      <c r="Q7" s="118">
        <f>SUMIFS(Table_Query_from_MS_Access_Database[[#All],[STP other]],Table_Query_from_MS_Access_Database[[#All],[Transaction Year]],"2014",Table_Query_from_MS_Access_Database[[#All],[Transaction Type]],"loan Out")</f>
        <v>0</v>
      </c>
      <c r="R7" s="43">
        <f t="shared" si="0"/>
        <v>-193259</v>
      </c>
      <c r="S7" s="45">
        <f>SUMIFS(Table_Query_from_MS_Access_Database_16[[#All],[Total]],Table_Query_from_MS_Access_Database_16[[#All],[Transaction Year]],"2014",Table_Query_from_MS_Access_Database_16[[#All],[Transaction Type]],"Loan Out")</f>
        <v>-193259</v>
      </c>
      <c r="T7" s="37"/>
    </row>
    <row r="8" spans="1:20" x14ac:dyDescent="0.3">
      <c r="J8" s="34"/>
      <c r="K8" s="34"/>
      <c r="L8" s="34"/>
      <c r="M8" s="99" t="s">
        <v>85</v>
      </c>
      <c r="N8" s="117">
        <f>SUMIFS(Table_Query_from_MS_Access_Database[[#All],[HSIP]],Table_Query_from_MS_Access_Database[[#All],[Transaction Year]],"2014",Table_Query_from_MS_Access_Database[[#All],[Transaction Type]],"repayment in")</f>
        <v>0</v>
      </c>
      <c r="O8" s="119">
        <f>SUMIFS(Table_Query_from_MS_Access_Database[[#All],[PL]],Table_Query_from_MS_Access_Database[[#All],[Transaction Year]],"2014",Table_Query_from_MS_Access_Database[[#All],[Transaction Type]],"repayment in")</f>
        <v>0</v>
      </c>
      <c r="P8" s="119">
        <f>SUMIFS(Table_Query_from_MS_Access_Database[[#All],[SPR]],Table_Query_from_MS_Access_Database[[#All],[Transaction Year]],"2014",Table_Query_from_MS_Access_Database[[#All],[Transaction Type]],"repayment in")</f>
        <v>0</v>
      </c>
      <c r="Q8" s="118">
        <f>SUMIFS(Table_Query_from_MS_Access_Database[[#All],[STP other]],Table_Query_from_MS_Access_Database[[#All],[Transaction Year]],"2014",Table_Query_from_MS_Access_Database[[#All],[Transaction Type]],"repayment in")</f>
        <v>0</v>
      </c>
      <c r="R8" s="43">
        <f t="shared" si="0"/>
        <v>0</v>
      </c>
      <c r="S8" s="45">
        <f>SUMIFS(Table_Query_from_MS_Access_Database_16[[#All],[Total]],Table_Query_from_MS_Access_Database_16[[#All],[Transaction Year]],"2014",Table_Query_from_MS_Access_Database_16[[#All],[Transaction Type]],"repayment In")</f>
        <v>0</v>
      </c>
      <c r="T8" s="37"/>
    </row>
    <row r="9" spans="1:20" x14ac:dyDescent="0.3">
      <c r="A9" s="148" t="s">
        <v>102</v>
      </c>
      <c r="B9" s="148"/>
      <c r="C9" s="148"/>
      <c r="D9" s="148"/>
      <c r="E9" s="148"/>
      <c r="F9" s="148"/>
      <c r="G9" s="148"/>
      <c r="H9" s="148"/>
      <c r="I9" s="148"/>
      <c r="J9" s="148"/>
      <c r="K9" s="148"/>
      <c r="L9" s="148"/>
      <c r="M9" s="100" t="s">
        <v>86</v>
      </c>
      <c r="N9" s="117">
        <f>SUMIFS(Table_Query_from_MS_Access_Database[[#All],[HSIP]],Table_Query_from_MS_Access_Database[[#All],[Transaction Year]],"2014",Table_Query_from_MS_Access_Database[[#All],[Transaction Type]],"repayment Out")</f>
        <v>0</v>
      </c>
      <c r="O9" s="119">
        <f>SUMIFS(Table_Query_from_MS_Access_Database[[#All],[PL]],Table_Query_from_MS_Access_Database[[#All],[Transaction Year]],"2014",Table_Query_from_MS_Access_Database[[#All],[Transaction Type]],"repayment Out")</f>
        <v>0</v>
      </c>
      <c r="P9" s="119">
        <f>SUMIFS(Table_Query_from_MS_Access_Database[[#All],[SPR]],Table_Query_from_MS_Access_Database[[#All],[Transaction Year]],"2014",Table_Query_from_MS_Access_Database[[#All],[Transaction Type]],"repayment Out")</f>
        <v>0</v>
      </c>
      <c r="Q9" s="118">
        <f>SUMIFS(Table_Query_from_MS_Access_Database[[#All],[STP other]],Table_Query_from_MS_Access_Database[[#All],[Transaction Year]],"2014",Table_Query_from_MS_Access_Database[[#All],[Transaction Type]],"repayment Out")</f>
        <v>0</v>
      </c>
      <c r="R9" s="43">
        <f t="shared" si="0"/>
        <v>0</v>
      </c>
      <c r="S9" s="45">
        <f>SUMIFS(Table_Query_from_MS_Access_Database_16[[#All],[Total]],Table_Query_from_MS_Access_Database_16[[#All],[Transaction Year]],"2014",Table_Query_from_MS_Access_Database_16[[#All],[Transaction Type]],"Repayment Out")</f>
        <v>0</v>
      </c>
      <c r="T9" s="37"/>
    </row>
    <row r="10" spans="1:20" x14ac:dyDescent="0.3">
      <c r="J10" s="34"/>
      <c r="K10" s="34"/>
      <c r="L10" s="34"/>
      <c r="M10" s="100" t="s">
        <v>87</v>
      </c>
      <c r="N10" s="117">
        <f>SUMIFS(Table_Query_from_MS_Access_Database[[#All],[HSIP]],Table_Query_from_MS_Access_Database[[#All],[Transaction Year]],"2014",Table_Query_from_MS_Access_Database[[#All],[Transaction Type]],"Transfer in")</f>
        <v>0</v>
      </c>
      <c r="O10" s="119">
        <f>SUMIFS(Table_Query_from_MS_Access_Database[[#All],[PL]],Table_Query_from_MS_Access_Database[[#All],[Transaction Year]],"2014",Table_Query_from_MS_Access_Database[[#All],[Transaction Type]],"Transfer in")</f>
        <v>0</v>
      </c>
      <c r="P10" s="119">
        <f>SUMIFS(Table_Query_from_MS_Access_Database[[#All],[SPR]],Table_Query_from_MS_Access_Database[[#All],[Transaction Year]],"2014",Table_Query_from_MS_Access_Database[[#All],[Transaction Type]],"Transfer in")</f>
        <v>0</v>
      </c>
      <c r="Q10" s="118">
        <f>SUMIFS(Table_Query_from_MS_Access_Database[[#All],[STP other]],Table_Query_from_MS_Access_Database[[#All],[Transaction Year]],"2014",Table_Query_from_MS_Access_Database[[#All],[Transaction Type]],"Transfer in")</f>
        <v>0</v>
      </c>
      <c r="R10" s="43">
        <f t="shared" si="0"/>
        <v>0</v>
      </c>
      <c r="S10" s="45">
        <f>SUMIFS(Table_Query_from_MS_Access_Database_16[[#All],[Total]],Table_Query_from_MS_Access_Database_16[[#All],[Transaction Year]],"2014",Table_Query_from_MS_Access_Database_16[[#All],[Transaction Type]],"Transfer In")</f>
        <v>0</v>
      </c>
      <c r="T10" s="33"/>
    </row>
    <row r="11" spans="1:20" x14ac:dyDescent="0.3">
      <c r="F11" s="48"/>
      <c r="G11" s="48"/>
      <c r="J11" s="34"/>
      <c r="K11" s="34"/>
      <c r="L11" s="34"/>
      <c r="M11" s="100" t="s">
        <v>88</v>
      </c>
      <c r="N11" s="117">
        <f>SUMIFS(Table_Query_from_MS_Access_Database[[#All],[HSIP]],Table_Query_from_MS_Access_Database[[#All],[Transaction Year]],"2014",Table_Query_from_MS_Access_Database[[#All],[Transaction Type]],"Transfer Out")</f>
        <v>0</v>
      </c>
      <c r="O11" s="119">
        <f>SUMIFS(Table_Query_from_MS_Access_Database[[#All],[PL]],Table_Query_from_MS_Access_Database[[#All],[Transaction Year]],"2014",Table_Query_from_MS_Access_Database[[#All],[Transaction Type]],"Transfer Out")</f>
        <v>0</v>
      </c>
      <c r="P11" s="119">
        <f>SUMIFS(Table_Query_from_MS_Access_Database[[#All],[SPR]],Table_Query_from_MS_Access_Database[[#All],[Transaction Year]],"2014",Table_Query_from_MS_Access_Database[[#All],[Transaction Type]],"Transfer Out")</f>
        <v>0</v>
      </c>
      <c r="Q11" s="118">
        <f>SUMIFS(Table_Query_from_MS_Access_Database[[#All],[STP other]],Table_Query_from_MS_Access_Database[[#All],[Transaction Year]],"2014",Table_Query_from_MS_Access_Database[[#All],[Transaction Type]],"Transfer Out")</f>
        <v>0</v>
      </c>
      <c r="R11" s="43">
        <f t="shared" si="0"/>
        <v>0</v>
      </c>
      <c r="S11" s="45">
        <f>SUMIFS(Table_Query_from_MS_Access_Database_16[[#All],[Total]],Table_Query_from_MS_Access_Database_16[[#All],[Transaction Year]],"2014",Table_Query_from_MS_Access_Database_16[[#All],[Transaction Type]],"Transfer Out")</f>
        <v>0</v>
      </c>
      <c r="T11" s="46"/>
    </row>
    <row r="12" spans="1:20" ht="26.4" x14ac:dyDescent="0.3">
      <c r="J12" s="34"/>
      <c r="K12" s="34"/>
      <c r="L12" s="34"/>
      <c r="M12" s="101" t="s">
        <v>103</v>
      </c>
      <c r="N12" s="120">
        <f>SUM(N4:N11)</f>
        <v>326508</v>
      </c>
      <c r="O12" s="50">
        <f>SUM(O4:O11)</f>
        <v>292759</v>
      </c>
      <c r="P12" s="50">
        <f>SUM(P4:P11)</f>
        <v>218750</v>
      </c>
      <c r="Q12" s="50">
        <f>SUM(Q4:Q11)</f>
        <v>2171103</v>
      </c>
      <c r="R12" s="85">
        <f t="shared" si="0"/>
        <v>3009120</v>
      </c>
      <c r="S12" s="49">
        <f>SUM(S4:S11)</f>
        <v>2788995.3878685809</v>
      </c>
      <c r="T12" s="46"/>
    </row>
    <row r="13" spans="1:20" x14ac:dyDescent="0.3">
      <c r="J13" s="34"/>
      <c r="K13" s="34"/>
      <c r="L13" s="34"/>
      <c r="M13" s="34"/>
      <c r="N13" s="51"/>
      <c r="O13" s="52"/>
      <c r="P13" s="52"/>
      <c r="Q13" s="52"/>
      <c r="R13" s="52"/>
      <c r="S13" s="52"/>
      <c r="T13" s="46"/>
    </row>
    <row r="14" spans="1:20" ht="16.8" x14ac:dyDescent="0.3">
      <c r="A14" s="147" t="s">
        <v>74</v>
      </c>
      <c r="B14" s="147"/>
      <c r="C14" s="147"/>
      <c r="D14" s="147"/>
      <c r="J14" s="150" t="s">
        <v>76</v>
      </c>
      <c r="K14" s="151"/>
      <c r="L14" s="151"/>
      <c r="M14" s="152"/>
      <c r="N14" s="53"/>
      <c r="R14" s="54"/>
      <c r="S14" s="54"/>
      <c r="T14" s="54"/>
    </row>
    <row r="15" spans="1:20" s="57" customFormat="1" ht="26.4" x14ac:dyDescent="0.3">
      <c r="A15" s="104" t="s">
        <v>1</v>
      </c>
      <c r="B15" s="104" t="s">
        <v>0</v>
      </c>
      <c r="C15" s="104" t="s">
        <v>3</v>
      </c>
      <c r="D15" s="104" t="s">
        <v>99</v>
      </c>
      <c r="E15" s="104" t="s">
        <v>2</v>
      </c>
      <c r="F15" s="104" t="s">
        <v>60</v>
      </c>
      <c r="G15" s="104" t="s">
        <v>52</v>
      </c>
      <c r="H15" s="104" t="s">
        <v>53</v>
      </c>
      <c r="I15" s="104" t="s">
        <v>54</v>
      </c>
      <c r="J15" s="104" t="s">
        <v>55</v>
      </c>
      <c r="K15" s="104" t="s">
        <v>56</v>
      </c>
      <c r="L15" s="104" t="s">
        <v>57</v>
      </c>
      <c r="M15" s="104" t="s">
        <v>58</v>
      </c>
      <c r="N15" s="105" t="s">
        <v>4</v>
      </c>
      <c r="O15" s="105" t="s">
        <v>45</v>
      </c>
      <c r="P15" s="105" t="s">
        <v>5</v>
      </c>
      <c r="Q15" s="105" t="s">
        <v>59</v>
      </c>
      <c r="R15" s="105" t="s">
        <v>100</v>
      </c>
      <c r="S15" s="106" t="s">
        <v>109</v>
      </c>
      <c r="T15" s="90"/>
    </row>
    <row r="16" spans="1:20" s="60" customFormat="1" ht="26.4" x14ac:dyDescent="0.3">
      <c r="A16" s="60" t="s">
        <v>172</v>
      </c>
      <c r="C16" s="60" t="s">
        <v>111</v>
      </c>
      <c r="D16" s="60" t="s">
        <v>9</v>
      </c>
      <c r="E16" s="89" t="s">
        <v>203</v>
      </c>
      <c r="F16" s="89" t="str">
        <f>CONCATENATE(Table_Query_from_MS_Access_Database8[[#This Row],[RTE]],Table_Query_from_MS_Access_Database8[[#This Row],[SEC]],Table_Query_from_MS_Access_Database8[[#This Row],[SEQ]])</f>
        <v>000C182</v>
      </c>
      <c r="G16" s="89" t="s">
        <v>108</v>
      </c>
      <c r="H16" s="89" t="s">
        <v>112</v>
      </c>
      <c r="I16" s="89" t="s">
        <v>159</v>
      </c>
      <c r="J16" s="107"/>
      <c r="K16" s="107">
        <v>41591</v>
      </c>
      <c r="L16" s="107">
        <v>41591</v>
      </c>
      <c r="M16" s="107">
        <v>41592</v>
      </c>
      <c r="N16" s="134"/>
      <c r="O16" s="102">
        <v>0</v>
      </c>
      <c r="P16" s="102"/>
      <c r="Q16" s="102"/>
      <c r="R16" s="102">
        <f>+Table_Query_from_MS_Access_Database8[[#This Row],[HSIP]]+Table_Query_from_MS_Access_Database8[[#This Row],[PL]]+Table_Query_from_MS_Access_Database8[[#This Row],[SPR]]+Table_Query_from_MS_Access_Database8[[#This Row],[STP OTHER]]</f>
        <v>0</v>
      </c>
      <c r="S16" s="102">
        <f>S12-Table_Query_from_MS_Access_Database8[TOTAL OF AMOUNT]</f>
        <v>2788995.3878685809</v>
      </c>
      <c r="T16" s="90"/>
    </row>
    <row r="17" spans="1:20" s="60" customFormat="1" ht="13.2" x14ac:dyDescent="0.3">
      <c r="A17" s="115" t="s">
        <v>113</v>
      </c>
      <c r="B17" s="115" t="s">
        <v>114</v>
      </c>
      <c r="C17" s="115" t="s">
        <v>111</v>
      </c>
      <c r="D17" s="115" t="s">
        <v>8</v>
      </c>
      <c r="E17" s="113" t="s">
        <v>115</v>
      </c>
      <c r="F17" s="113" t="str">
        <f>CONCATENATE(Table_Query_from_MS_Access_Database8[[#This Row],[RTE]],Table_Query_from_MS_Access_Database8[[#This Row],[SEC]],Table_Query_from_MS_Access_Database8[[#This Row],[SEQ]])</f>
        <v>000C184</v>
      </c>
      <c r="G17" s="113" t="s">
        <v>108</v>
      </c>
      <c r="H17" s="113" t="s">
        <v>112</v>
      </c>
      <c r="I17" s="113" t="s">
        <v>116</v>
      </c>
      <c r="J17" s="107"/>
      <c r="K17" s="107">
        <v>41887</v>
      </c>
      <c r="L17" s="107">
        <v>41890</v>
      </c>
      <c r="M17" s="107">
        <v>41892</v>
      </c>
      <c r="N17" s="135"/>
      <c r="O17" s="114">
        <v>-103438</v>
      </c>
      <c r="P17" s="114"/>
      <c r="Q17" s="114"/>
      <c r="R17" s="114">
        <f>+Table_Query_from_MS_Access_Database8[[#This Row],[HSIP]]+Table_Query_from_MS_Access_Database8[[#This Row],[PL]]+Table_Query_from_MS_Access_Database8[[#This Row],[SPR]]+Table_Query_from_MS_Access_Database8[[#This Row],[STP OTHER]]</f>
        <v>-103438</v>
      </c>
      <c r="S17" s="114">
        <f>S16-Table_Query_from_MS_Access_Database8[TOTAL OF AMOUNT]</f>
        <v>2892433.3878685809</v>
      </c>
      <c r="T17" s="90"/>
    </row>
    <row r="18" spans="1:20" s="60" customFormat="1" ht="13.2" x14ac:dyDescent="0.3">
      <c r="A18" s="115" t="s">
        <v>113</v>
      </c>
      <c r="B18" s="115" t="s">
        <v>114</v>
      </c>
      <c r="C18" s="115" t="s">
        <v>111</v>
      </c>
      <c r="D18" s="115" t="s">
        <v>7</v>
      </c>
      <c r="E18" s="113" t="s">
        <v>115</v>
      </c>
      <c r="F18" s="113" t="str">
        <f>CONCATENATE(Table_Query_from_MS_Access_Database8[[#This Row],[RTE]],Table_Query_from_MS_Access_Database8[[#This Row],[SEC]],Table_Query_from_MS_Access_Database8[[#This Row],[SEQ]])</f>
        <v>000C184</v>
      </c>
      <c r="G18" s="113" t="s">
        <v>108</v>
      </c>
      <c r="H18" s="113" t="s">
        <v>112</v>
      </c>
      <c r="I18" s="113" t="s">
        <v>116</v>
      </c>
      <c r="J18" s="107"/>
      <c r="K18" s="107">
        <v>41635</v>
      </c>
      <c r="L18" s="107">
        <v>41639</v>
      </c>
      <c r="M18" s="107">
        <v>41683</v>
      </c>
      <c r="N18" s="135"/>
      <c r="O18" s="114">
        <v>292758</v>
      </c>
      <c r="P18" s="114"/>
      <c r="Q18" s="114"/>
      <c r="R18" s="114">
        <f>+Table_Query_from_MS_Access_Database8[[#This Row],[HSIP]]+Table_Query_from_MS_Access_Database8[[#This Row],[PL]]+Table_Query_from_MS_Access_Database8[[#This Row],[SPR]]+Table_Query_from_MS_Access_Database8[[#This Row],[STP OTHER]]</f>
        <v>292758</v>
      </c>
      <c r="S18" s="114">
        <f>S17-Table_Query_from_MS_Access_Database8[TOTAL OF AMOUNT]</f>
        <v>2599675.3878685809</v>
      </c>
      <c r="T18" s="90"/>
    </row>
    <row r="19" spans="1:20" s="60" customFormat="1" ht="13.2" x14ac:dyDescent="0.3">
      <c r="A19" s="115" t="s">
        <v>213</v>
      </c>
      <c r="B19" s="115"/>
      <c r="C19" s="115" t="s">
        <v>111</v>
      </c>
      <c r="D19" s="115" t="s">
        <v>7</v>
      </c>
      <c r="E19" s="113" t="s">
        <v>214</v>
      </c>
      <c r="F19" s="113" t="str">
        <f>CONCATENATE(Table_Query_from_MS_Access_Database8[[#This Row],[RTE]],Table_Query_from_MS_Access_Database8[[#This Row],[SEC]],Table_Query_from_MS_Access_Database8[[#This Row],[SEQ]])</f>
        <v>000c186</v>
      </c>
      <c r="G19" s="113" t="s">
        <v>108</v>
      </c>
      <c r="H19" s="113" t="s">
        <v>215</v>
      </c>
      <c r="I19" s="113" t="s">
        <v>216</v>
      </c>
      <c r="J19" s="107"/>
      <c r="K19" s="107">
        <v>41887</v>
      </c>
      <c r="L19" s="107">
        <v>41890</v>
      </c>
      <c r="M19" s="107">
        <v>41900</v>
      </c>
      <c r="N19" s="135"/>
      <c r="O19" s="114">
        <v>103438</v>
      </c>
      <c r="P19" s="114"/>
      <c r="Q19" s="114"/>
      <c r="R19" s="114">
        <f>+Table_Query_from_MS_Access_Database8[[#This Row],[HSIP]]+Table_Query_from_MS_Access_Database8[[#This Row],[PL]]+Table_Query_from_MS_Access_Database8[[#This Row],[SPR]]+Table_Query_from_MS_Access_Database8[[#This Row],[STP OTHER]]</f>
        <v>103438</v>
      </c>
      <c r="S19" s="114">
        <f>S18-Table_Query_from_MS_Access_Database8[TOTAL OF AMOUNT]</f>
        <v>2496237.3878685809</v>
      </c>
      <c r="T19" s="90"/>
    </row>
    <row r="20" spans="1:20" s="60" customFormat="1" ht="13.2" x14ac:dyDescent="0.3">
      <c r="A20" s="115" t="s">
        <v>117</v>
      </c>
      <c r="B20" s="115" t="s">
        <v>118</v>
      </c>
      <c r="C20" s="115" t="s">
        <v>111</v>
      </c>
      <c r="D20" s="115" t="s">
        <v>8</v>
      </c>
      <c r="E20" s="113" t="s">
        <v>119</v>
      </c>
      <c r="F20" s="113" t="str">
        <f>CONCATENATE(Table_Query_from_MS_Access_Database8[[#This Row],[RTE]],Table_Query_from_MS_Access_Database8[[#This Row],[SEC]],Table_Query_from_MS_Access_Database8[[#This Row],[SEQ]])</f>
        <v>000M184</v>
      </c>
      <c r="G20" s="113" t="s">
        <v>108</v>
      </c>
      <c r="H20" s="113" t="s">
        <v>120</v>
      </c>
      <c r="I20" s="113" t="s">
        <v>116</v>
      </c>
      <c r="J20" s="107"/>
      <c r="K20" s="107">
        <v>41614</v>
      </c>
      <c r="L20" s="107">
        <v>41638</v>
      </c>
      <c r="M20" s="107">
        <v>41649</v>
      </c>
      <c r="N20" s="135"/>
      <c r="O20" s="114"/>
      <c r="P20" s="114">
        <v>167125</v>
      </c>
      <c r="Q20" s="114"/>
      <c r="R20" s="114">
        <f>+Table_Query_from_MS_Access_Database8[[#This Row],[HSIP]]+Table_Query_from_MS_Access_Database8[[#This Row],[PL]]+Table_Query_from_MS_Access_Database8[[#This Row],[SPR]]+Table_Query_from_MS_Access_Database8[[#This Row],[STP OTHER]]</f>
        <v>167125</v>
      </c>
      <c r="S20" s="114">
        <f>S19-Table_Query_from_MS_Access_Database8[TOTAL OF AMOUNT]</f>
        <v>2329112.3878685809</v>
      </c>
    </row>
    <row r="21" spans="1:20" s="60" customFormat="1" ht="13.2" x14ac:dyDescent="0.3">
      <c r="A21" s="115" t="s">
        <v>217</v>
      </c>
      <c r="B21" s="115"/>
      <c r="C21" s="115" t="s">
        <v>111</v>
      </c>
      <c r="D21" s="115" t="s">
        <v>7</v>
      </c>
      <c r="E21" s="113" t="s">
        <v>119</v>
      </c>
      <c r="F21" s="113" t="str">
        <f>CONCATENATE(Table_Query_from_MS_Access_Database8[[#This Row],[RTE]],Table_Query_from_MS_Access_Database8[[#This Row],[SEC]],Table_Query_from_MS_Access_Database8[[#This Row],[SEQ]])</f>
        <v>000M186</v>
      </c>
      <c r="G21" s="113" t="s">
        <v>108</v>
      </c>
      <c r="H21" s="113" t="s">
        <v>120</v>
      </c>
      <c r="I21" s="113" t="s">
        <v>216</v>
      </c>
      <c r="J21" s="107"/>
      <c r="K21" s="107">
        <v>41886</v>
      </c>
      <c r="L21" s="107">
        <v>41890</v>
      </c>
      <c r="M21" s="107">
        <v>41900</v>
      </c>
      <c r="N21" s="135"/>
      <c r="O21" s="114"/>
      <c r="P21" s="114">
        <v>43750</v>
      </c>
      <c r="Q21" s="114"/>
      <c r="R21" s="114">
        <f>+Table_Query_from_MS_Access_Database8[[#This Row],[HSIP]]+Table_Query_from_MS_Access_Database8[[#This Row],[PL]]+Table_Query_from_MS_Access_Database8[[#This Row],[SPR]]+Table_Query_from_MS_Access_Database8[[#This Row],[STP OTHER]]</f>
        <v>43750</v>
      </c>
      <c r="S21" s="114">
        <f>S20-Table_Query_from_MS_Access_Database8[TOTAL OF AMOUNT]</f>
        <v>2285362.3878685809</v>
      </c>
    </row>
    <row r="22" spans="1:20" s="116" customFormat="1" ht="13.2" x14ac:dyDescent="0.3">
      <c r="A22" s="115" t="s">
        <v>180</v>
      </c>
      <c r="B22" s="115"/>
      <c r="C22" s="115" t="s">
        <v>111</v>
      </c>
      <c r="D22" s="115" t="s">
        <v>8</v>
      </c>
      <c r="E22" s="113" t="s">
        <v>181</v>
      </c>
      <c r="F22" s="113" t="str">
        <f>CONCATENATE(Table_Query_from_MS_Access_Database8[[#This Row],[RTE]],Table_Query_from_MS_Access_Database8[[#This Row],[SEC]],Table_Query_from_MS_Access_Database8[[#This Row],[SEQ]])</f>
        <v>999A453</v>
      </c>
      <c r="G22" s="113" t="s">
        <v>182</v>
      </c>
      <c r="H22" s="113" t="s">
        <v>157</v>
      </c>
      <c r="I22" s="113" t="s">
        <v>183</v>
      </c>
      <c r="J22" s="107"/>
      <c r="K22" s="107">
        <v>41775</v>
      </c>
      <c r="L22" s="107">
        <v>41794</v>
      </c>
      <c r="M22" s="107">
        <v>41809</v>
      </c>
      <c r="N22" s="135">
        <v>290570</v>
      </c>
      <c r="O22" s="114"/>
      <c r="P22" s="114"/>
      <c r="Q22" s="114"/>
      <c r="R22" s="114">
        <f>+Table_Query_from_MS_Access_Database8[[#This Row],[HSIP]]+Table_Query_from_MS_Access_Database8[[#This Row],[PL]]+Table_Query_from_MS_Access_Database8[[#This Row],[SPR]]+Table_Query_from_MS_Access_Database8[[#This Row],[STP OTHER]]</f>
        <v>290570</v>
      </c>
      <c r="S22" s="114">
        <f>S21-Table_Query_from_MS_Access_Database8[TOTAL OF AMOUNT]</f>
        <v>1994792.3878685809</v>
      </c>
      <c r="T22" s="65"/>
    </row>
    <row r="23" spans="1:20" s="116" customFormat="1" ht="13.2" x14ac:dyDescent="0.3">
      <c r="A23" s="115" t="s">
        <v>184</v>
      </c>
      <c r="B23" s="115"/>
      <c r="C23" s="115" t="s">
        <v>111</v>
      </c>
      <c r="D23" s="115" t="s">
        <v>8</v>
      </c>
      <c r="E23" s="113" t="s">
        <v>185</v>
      </c>
      <c r="F23" s="113" t="str">
        <f>CONCATENATE(Table_Query_from_MS_Access_Database8[[#This Row],[RTE]],Table_Query_from_MS_Access_Database8[[#This Row],[SEC]],Table_Query_from_MS_Access_Database8[[#This Row],[SEQ]])</f>
        <v>999A453</v>
      </c>
      <c r="G23" s="113" t="s">
        <v>182</v>
      </c>
      <c r="H23" s="113" t="s">
        <v>157</v>
      </c>
      <c r="I23" s="113" t="s">
        <v>183</v>
      </c>
      <c r="J23" s="107"/>
      <c r="K23" s="107">
        <v>41775</v>
      </c>
      <c r="L23" s="107">
        <v>41792</v>
      </c>
      <c r="M23" s="107">
        <v>41809</v>
      </c>
      <c r="N23" s="135">
        <v>9430</v>
      </c>
      <c r="O23" s="114"/>
      <c r="P23" s="114"/>
      <c r="Q23" s="114"/>
      <c r="R23" s="114">
        <f>+Table_Query_from_MS_Access_Database8[[#This Row],[HSIP]]+Table_Query_from_MS_Access_Database8[[#This Row],[PL]]+Table_Query_from_MS_Access_Database8[[#This Row],[SPR]]+Table_Query_from_MS_Access_Database8[[#This Row],[STP OTHER]]</f>
        <v>9430</v>
      </c>
      <c r="S23" s="114">
        <f>S22-Table_Query_from_MS_Access_Database8[TOTAL OF AMOUNT]</f>
        <v>1985362.3878685809</v>
      </c>
      <c r="T23" s="65"/>
    </row>
    <row r="24" spans="1:20" s="116" customFormat="1" ht="26.4" x14ac:dyDescent="0.3">
      <c r="A24" s="115" t="s">
        <v>153</v>
      </c>
      <c r="B24" s="115" t="s">
        <v>186</v>
      </c>
      <c r="C24" s="115" t="s">
        <v>154</v>
      </c>
      <c r="D24" s="115" t="s">
        <v>7</v>
      </c>
      <c r="E24" s="113" t="s">
        <v>155</v>
      </c>
      <c r="F24" s="113" t="str">
        <f>CONCATENATE(Table_Query_from_MS_Access_Database8[[#This Row],[RTE]],Table_Query_from_MS_Access_Database8[[#This Row],[SEC]],Table_Query_from_MS_Access_Database8[[#This Row],[SEQ]])</f>
        <v>094A420</v>
      </c>
      <c r="G24" s="113" t="s">
        <v>156</v>
      </c>
      <c r="H24" s="113" t="s">
        <v>157</v>
      </c>
      <c r="I24" s="113" t="s">
        <v>158</v>
      </c>
      <c r="J24" s="107"/>
      <c r="K24" s="107">
        <v>41654</v>
      </c>
      <c r="L24" s="107">
        <v>41759</v>
      </c>
      <c r="M24" s="107">
        <v>41772</v>
      </c>
      <c r="N24" s="135"/>
      <c r="O24" s="114"/>
      <c r="P24" s="114"/>
      <c r="Q24" s="114">
        <v>5000</v>
      </c>
      <c r="R24" s="114">
        <f>+Table_Query_from_MS_Access_Database8[[#This Row],[HSIP]]+Table_Query_from_MS_Access_Database8[[#This Row],[PL]]+Table_Query_from_MS_Access_Database8[[#This Row],[SPR]]+Table_Query_from_MS_Access_Database8[[#This Row],[STP OTHER]]</f>
        <v>5000</v>
      </c>
      <c r="S24" s="114">
        <f>S23-Table_Query_from_MS_Access_Database8[TOTAL OF AMOUNT]</f>
        <v>1980362.3878685809</v>
      </c>
      <c r="T24" s="65"/>
    </row>
    <row r="25" spans="1:20" s="116" customFormat="1" ht="26.4" x14ac:dyDescent="0.3">
      <c r="A25" s="115" t="s">
        <v>121</v>
      </c>
      <c r="B25" s="115" t="s">
        <v>122</v>
      </c>
      <c r="C25" s="115" t="s">
        <v>123</v>
      </c>
      <c r="D25" s="115" t="s">
        <v>21</v>
      </c>
      <c r="E25" s="113" t="s">
        <v>124</v>
      </c>
      <c r="F25" s="113" t="str">
        <f>CONCATENATE(Table_Query_from_MS_Access_Database8[[#This Row],[RTE]],Table_Query_from_MS_Access_Database8[[#This Row],[SEC]],Table_Query_from_MS_Access_Database8[[#This Row],[SEQ]])</f>
        <v>YCT0207</v>
      </c>
      <c r="G25" s="113" t="s">
        <v>125</v>
      </c>
      <c r="H25" s="113" t="s">
        <v>126</v>
      </c>
      <c r="I25" s="113" t="s">
        <v>127</v>
      </c>
      <c r="J25" s="107"/>
      <c r="K25" s="107"/>
      <c r="L25" s="107">
        <v>41639</v>
      </c>
      <c r="M25" s="107">
        <v>41675</v>
      </c>
      <c r="N25" s="135">
        <v>-29225</v>
      </c>
      <c r="O25" s="114"/>
      <c r="P25" s="114"/>
      <c r="Q25" s="114"/>
      <c r="R25" s="114">
        <f>+Table_Query_from_MS_Access_Database8[[#This Row],[HSIP]]+Table_Query_from_MS_Access_Database8[[#This Row],[PL]]+Table_Query_from_MS_Access_Database8[[#This Row],[SPR]]+Table_Query_from_MS_Access_Database8[[#This Row],[STP OTHER]]</f>
        <v>-29225</v>
      </c>
      <c r="S25" s="114">
        <f>S24-Table_Query_from_MS_Access_Database8[TOTAL OF AMOUNT]</f>
        <v>2009587.3878685809</v>
      </c>
      <c r="T25" s="65"/>
    </row>
    <row r="26" spans="1:20" s="116" customFormat="1" ht="26.4" x14ac:dyDescent="0.3">
      <c r="A26" s="115" t="s">
        <v>128</v>
      </c>
      <c r="B26" s="115" t="s">
        <v>122</v>
      </c>
      <c r="C26" s="115" t="s">
        <v>129</v>
      </c>
      <c r="D26" s="115" t="s">
        <v>21</v>
      </c>
      <c r="E26" s="113" t="s">
        <v>130</v>
      </c>
      <c r="F26" s="113" t="str">
        <f>CONCATENATE(Table_Query_from_MS_Access_Database8[[#This Row],[RTE]],Table_Query_from_MS_Access_Database8[[#This Row],[SEC]],Table_Query_from_MS_Access_Database8[[#This Row],[SEQ]])</f>
        <v>S0M0206</v>
      </c>
      <c r="G26" s="113" t="s">
        <v>131</v>
      </c>
      <c r="H26" s="113" t="s">
        <v>126</v>
      </c>
      <c r="I26" s="113" t="s">
        <v>132</v>
      </c>
      <c r="J26" s="107"/>
      <c r="K26" s="107"/>
      <c r="L26" s="107">
        <v>41639</v>
      </c>
      <c r="M26" s="107">
        <v>41675</v>
      </c>
      <c r="N26" s="135">
        <v>-43462</v>
      </c>
      <c r="O26" s="114"/>
      <c r="P26" s="114"/>
      <c r="Q26" s="114"/>
      <c r="R26" s="114">
        <f>+Table_Query_from_MS_Access_Database8[[#This Row],[HSIP]]+Table_Query_from_MS_Access_Database8[[#This Row],[PL]]+Table_Query_from_MS_Access_Database8[[#This Row],[SPR]]+Table_Query_from_MS_Access_Database8[[#This Row],[STP OTHER]]</f>
        <v>-43462</v>
      </c>
      <c r="S26" s="114">
        <f>S25-Table_Query_from_MS_Access_Database8[TOTAL OF AMOUNT]</f>
        <v>2053049.3878685809</v>
      </c>
      <c r="T26" s="65"/>
    </row>
    <row r="27" spans="1:20" s="116" customFormat="1" ht="13.2" x14ac:dyDescent="0.3">
      <c r="A27" s="115" t="s">
        <v>142</v>
      </c>
      <c r="B27" s="115" t="s">
        <v>143</v>
      </c>
      <c r="C27" s="115" t="s">
        <v>144</v>
      </c>
      <c r="D27" s="115" t="s">
        <v>21</v>
      </c>
      <c r="E27" s="113" t="s">
        <v>145</v>
      </c>
      <c r="F27" s="113" t="str">
        <f>CONCATENATE(Table_Query_from_MS_Access_Database8[[#This Row],[RTE]],Table_Query_from_MS_Access_Database8[[#This Row],[SEC]],Table_Query_from_MS_Access_Database8[[#This Row],[SEQ]])</f>
        <v>YUM0214</v>
      </c>
      <c r="G27" s="113" t="s">
        <v>146</v>
      </c>
      <c r="H27" s="113" t="s">
        <v>126</v>
      </c>
      <c r="I27" s="113" t="s">
        <v>147</v>
      </c>
      <c r="J27" s="107"/>
      <c r="K27" s="107">
        <v>41628</v>
      </c>
      <c r="L27" s="107">
        <v>41628</v>
      </c>
      <c r="M27" s="107">
        <v>41628</v>
      </c>
      <c r="N27" s="135">
        <v>-22880</v>
      </c>
      <c r="O27" s="114"/>
      <c r="P27" s="114"/>
      <c r="Q27" s="114"/>
      <c r="R27" s="114">
        <f>+Table_Query_from_MS_Access_Database8[[#This Row],[HSIP]]+Table_Query_from_MS_Access_Database8[[#This Row],[PL]]+Table_Query_from_MS_Access_Database8[[#This Row],[SPR]]+Table_Query_from_MS_Access_Database8[[#This Row],[STP OTHER]]</f>
        <v>-22880</v>
      </c>
      <c r="S27" s="114">
        <f>S26-Table_Query_from_MS_Access_Database8[TOTAL OF AMOUNT]</f>
        <v>2075929.3878685809</v>
      </c>
      <c r="T27" s="65"/>
    </row>
    <row r="28" spans="1:20" s="116" customFormat="1" ht="13.2" x14ac:dyDescent="0.3">
      <c r="A28" s="115" t="s">
        <v>170</v>
      </c>
      <c r="B28" s="115" t="s">
        <v>204</v>
      </c>
      <c r="C28" s="115" t="s">
        <v>129</v>
      </c>
      <c r="D28" s="115" t="s">
        <v>7</v>
      </c>
      <c r="E28" s="113" t="s">
        <v>171</v>
      </c>
      <c r="F28" s="113" t="str">
        <f>CONCATENATE(Table_Query_from_MS_Access_Database8[[#This Row],[RTE]],Table_Query_from_MS_Access_Database8[[#This Row],[SEC]],Table_Query_from_MS_Access_Database8[[#This Row],[SEQ]])</f>
        <v>S0M0200</v>
      </c>
      <c r="G28" s="113" t="s">
        <v>131</v>
      </c>
      <c r="H28" s="113" t="s">
        <v>126</v>
      </c>
      <c r="I28" s="113" t="s">
        <v>165</v>
      </c>
      <c r="J28" s="107"/>
      <c r="K28" s="107">
        <v>41715</v>
      </c>
      <c r="L28" s="107">
        <v>41715</v>
      </c>
      <c r="M28" s="107">
        <v>41732</v>
      </c>
      <c r="N28" s="135"/>
      <c r="O28" s="114"/>
      <c r="P28" s="114"/>
      <c r="Q28" s="114">
        <v>228369</v>
      </c>
      <c r="R28" s="114">
        <f>+Table_Query_from_MS_Access_Database8[[#This Row],[HSIP]]+Table_Query_from_MS_Access_Database8[[#This Row],[PL]]+Table_Query_from_MS_Access_Database8[[#This Row],[SPR]]+Table_Query_from_MS_Access_Database8[[#This Row],[STP OTHER]]</f>
        <v>228369</v>
      </c>
      <c r="S28" s="114">
        <f>S27-Table_Query_from_MS_Access_Database8[TOTAL OF AMOUNT]</f>
        <v>1847560.3878685809</v>
      </c>
      <c r="T28" s="65"/>
    </row>
    <row r="29" spans="1:20" s="116" customFormat="1" ht="13.2" x14ac:dyDescent="0.3">
      <c r="A29" s="115" t="s">
        <v>187</v>
      </c>
      <c r="B29" s="115"/>
      <c r="C29" s="115" t="s">
        <v>123</v>
      </c>
      <c r="D29" s="115" t="s">
        <v>21</v>
      </c>
      <c r="E29" s="113" t="s">
        <v>188</v>
      </c>
      <c r="F29" s="113" t="str">
        <f>CONCATENATE(Table_Query_from_MS_Access_Database8[[#This Row],[RTE]],Table_Query_from_MS_Access_Database8[[#This Row],[SEC]],Table_Query_from_MS_Access_Database8[[#This Row],[SEQ]])</f>
        <v>YYU0202</v>
      </c>
      <c r="G29" s="113" t="s">
        <v>189</v>
      </c>
      <c r="H29" s="113" t="s">
        <v>126</v>
      </c>
      <c r="I29" s="113" t="s">
        <v>190</v>
      </c>
      <c r="J29" s="107"/>
      <c r="K29" s="107"/>
      <c r="L29" s="107">
        <v>41759</v>
      </c>
      <c r="M29" s="107">
        <v>41772</v>
      </c>
      <c r="N29" s="135"/>
      <c r="O29" s="114"/>
      <c r="P29" s="114"/>
      <c r="Q29" s="114">
        <v>-30368</v>
      </c>
      <c r="R29" s="114">
        <f>+Table_Query_from_MS_Access_Database8[[#This Row],[HSIP]]+Table_Query_from_MS_Access_Database8[[#This Row],[PL]]+Table_Query_from_MS_Access_Database8[[#This Row],[SPR]]+Table_Query_from_MS_Access_Database8[[#This Row],[STP OTHER]]</f>
        <v>-30368</v>
      </c>
      <c r="S29" s="114">
        <f>S28-Table_Query_from_MS_Access_Database8[TOTAL OF AMOUNT]</f>
        <v>1877928.3878685809</v>
      </c>
      <c r="T29" s="65"/>
    </row>
    <row r="30" spans="1:20" s="60" customFormat="1" ht="26.4" x14ac:dyDescent="0.3">
      <c r="A30" s="115" t="s">
        <v>160</v>
      </c>
      <c r="B30" s="115" t="s">
        <v>161</v>
      </c>
      <c r="C30" s="115" t="s">
        <v>162</v>
      </c>
      <c r="D30" s="115" t="s">
        <v>9</v>
      </c>
      <c r="E30" s="113" t="s">
        <v>163</v>
      </c>
      <c r="F30" s="113" t="str">
        <f>CONCATENATE(Table_Query_from_MS_Access_Database8[[#This Row],[RTE]],Table_Query_from_MS_Access_Database8[[#This Row],[SEC]],Table_Query_from_MS_Access_Database8[[#This Row],[SEQ]])</f>
        <v>SLS0200</v>
      </c>
      <c r="G30" s="113" t="s">
        <v>164</v>
      </c>
      <c r="H30" s="113" t="s">
        <v>126</v>
      </c>
      <c r="I30" s="113" t="s">
        <v>165</v>
      </c>
      <c r="J30" s="107"/>
      <c r="K30" s="107">
        <v>41718</v>
      </c>
      <c r="L30" s="107">
        <v>41718</v>
      </c>
      <c r="M30" s="107">
        <v>41722</v>
      </c>
      <c r="N30" s="135"/>
      <c r="O30" s="114"/>
      <c r="P30" s="114"/>
      <c r="Q30" s="114">
        <v>-25022.9</v>
      </c>
      <c r="R30" s="114">
        <f>+Table_Query_from_MS_Access_Database8[[#This Row],[HSIP]]+Table_Query_from_MS_Access_Database8[[#This Row],[PL]]+Table_Query_from_MS_Access_Database8[[#This Row],[SPR]]+Table_Query_from_MS_Access_Database8[[#This Row],[STP OTHER]]</f>
        <v>-25022.9</v>
      </c>
      <c r="S30" s="114">
        <f>S29-Table_Query_from_MS_Access_Database8[TOTAL OF AMOUNT]</f>
        <v>1902951.2878685808</v>
      </c>
      <c r="T30" s="65"/>
    </row>
    <row r="31" spans="1:20" s="60" customFormat="1" ht="26.4" x14ac:dyDescent="0.3">
      <c r="A31" s="141" t="s">
        <v>166</v>
      </c>
      <c r="B31" s="141" t="s">
        <v>167</v>
      </c>
      <c r="C31" s="141" t="s">
        <v>162</v>
      </c>
      <c r="D31" s="141" t="s">
        <v>7</v>
      </c>
      <c r="E31" s="142" t="s">
        <v>168</v>
      </c>
      <c r="F31" s="142" t="str">
        <f>CONCATENATE(Table_Query_from_MS_Access_Database8[[#This Row],[RTE]],Table_Query_from_MS_Access_Database8[[#This Row],[SEC]],Table_Query_from_MS_Access_Database8[[#This Row],[SEQ]])</f>
        <v>SLS0201</v>
      </c>
      <c r="G31" s="142" t="s">
        <v>164</v>
      </c>
      <c r="H31" s="142" t="s">
        <v>126</v>
      </c>
      <c r="I31" s="142" t="s">
        <v>169</v>
      </c>
      <c r="J31" s="143">
        <v>41866</v>
      </c>
      <c r="K31" s="143">
        <v>41870</v>
      </c>
      <c r="L31" s="143">
        <v>41879</v>
      </c>
      <c r="M31" s="143">
        <v>41901</v>
      </c>
      <c r="N31" s="144"/>
      <c r="O31" s="140"/>
      <c r="P31" s="140"/>
      <c r="Q31" s="140">
        <v>360000</v>
      </c>
      <c r="R31" s="140">
        <f>+Table_Query_from_MS_Access_Database8[[#This Row],[HSIP]]+Table_Query_from_MS_Access_Database8[[#This Row],[PL]]+Table_Query_from_MS_Access_Database8[[#This Row],[SPR]]+Table_Query_from_MS_Access_Database8[[#This Row],[STP OTHER]]</f>
        <v>360000</v>
      </c>
      <c r="S31" s="114">
        <f>S30-Table_Query_from_MS_Access_Database8[TOTAL OF AMOUNT]</f>
        <v>1542951.2878685808</v>
      </c>
    </row>
    <row r="32" spans="1:20" s="60" customFormat="1" ht="13.2" x14ac:dyDescent="0.3">
      <c r="A32" s="141" t="s">
        <v>133</v>
      </c>
      <c r="B32" s="141" t="s">
        <v>134</v>
      </c>
      <c r="C32" s="141" t="s">
        <v>123</v>
      </c>
      <c r="D32" s="141" t="s">
        <v>7</v>
      </c>
      <c r="E32" s="142" t="s">
        <v>135</v>
      </c>
      <c r="F32" s="142" t="str">
        <f>CONCATENATE(Table_Query_from_MS_Access_Database8[[#This Row],[RTE]],Table_Query_from_MS_Access_Database8[[#This Row],[SEC]],Table_Query_from_MS_Access_Database8[[#This Row],[SEQ]])</f>
        <v>YYU0206</v>
      </c>
      <c r="G32" s="142" t="s">
        <v>189</v>
      </c>
      <c r="H32" s="142" t="s">
        <v>126</v>
      </c>
      <c r="I32" s="142" t="s">
        <v>132</v>
      </c>
      <c r="J32" s="143">
        <v>41817</v>
      </c>
      <c r="K32" s="143">
        <v>41807</v>
      </c>
      <c r="L32" s="143">
        <v>41809</v>
      </c>
      <c r="M32" s="143">
        <v>41816</v>
      </c>
      <c r="N32" s="144"/>
      <c r="O32" s="140"/>
      <c r="P32" s="140"/>
      <c r="Q32" s="140">
        <v>1342951</v>
      </c>
      <c r="R32" s="140">
        <f>+Table_Query_from_MS_Access_Database8[[#This Row],[HSIP]]+Table_Query_from_MS_Access_Database8[[#This Row],[PL]]+Table_Query_from_MS_Access_Database8[[#This Row],[SPR]]+Table_Query_from_MS_Access_Database8[[#This Row],[STP OTHER]]</f>
        <v>1342951</v>
      </c>
      <c r="S32" s="114">
        <f>S31-Table_Query_from_MS_Access_Database8[TOTAL OF AMOUNT]</f>
        <v>200000.28786858078</v>
      </c>
    </row>
    <row r="33" spans="1:19" s="57" customFormat="1" x14ac:dyDescent="0.3">
      <c r="A33" s="141" t="s">
        <v>179</v>
      </c>
      <c r="B33" s="141" t="s">
        <v>136</v>
      </c>
      <c r="C33" s="141" t="s">
        <v>137</v>
      </c>
      <c r="D33" s="141" t="s">
        <v>7</v>
      </c>
      <c r="E33" s="142" t="s">
        <v>138</v>
      </c>
      <c r="F33" s="142" t="str">
        <f>CONCATENATE(Table_Query_from_MS_Access_Database8[[#This Row],[RTE]],Table_Query_from_MS_Access_Database8[[#This Row],[SEC]],Table_Query_from_MS_Access_Database8[[#This Row],[SEQ]])</f>
        <v>WEL0200</v>
      </c>
      <c r="G33" s="142" t="s">
        <v>139</v>
      </c>
      <c r="H33" s="142" t="s">
        <v>126</v>
      </c>
      <c r="I33" s="142" t="s">
        <v>165</v>
      </c>
      <c r="J33" s="143">
        <v>41730</v>
      </c>
      <c r="K33" s="143">
        <v>41799</v>
      </c>
      <c r="L33" s="143">
        <v>41799</v>
      </c>
      <c r="M33" s="143">
        <v>41816</v>
      </c>
      <c r="N33" s="144"/>
      <c r="O33" s="140"/>
      <c r="P33" s="140"/>
      <c r="Q33" s="140">
        <v>125000</v>
      </c>
      <c r="R33" s="140">
        <f>+Table_Query_from_MS_Access_Database8[[#This Row],[HSIP]]+Table_Query_from_MS_Access_Database8[[#This Row],[PL]]+Table_Query_from_MS_Access_Database8[[#This Row],[SPR]]+Table_Query_from_MS_Access_Database8[[#This Row],[STP OTHER]]</f>
        <v>125000</v>
      </c>
      <c r="S33" s="114">
        <f>S32-Table_Query_from_MS_Access_Database8[TOTAL OF AMOUNT]</f>
        <v>75000.287868580781</v>
      </c>
    </row>
    <row r="34" spans="1:19" s="57" customFormat="1" x14ac:dyDescent="0.3">
      <c r="A34" s="141" t="s">
        <v>212</v>
      </c>
      <c r="B34" s="141" t="s">
        <v>140</v>
      </c>
      <c r="C34" s="141" t="s">
        <v>129</v>
      </c>
      <c r="D34" s="141" t="s">
        <v>7</v>
      </c>
      <c r="E34" s="142" t="s">
        <v>141</v>
      </c>
      <c r="F34" s="142" t="str">
        <f>CONCATENATE(Table_Query_from_MS_Access_Database8[[#This Row],[RTE]],Table_Query_from_MS_Access_Database8[[#This Row],[SEC]],Table_Query_from_MS_Access_Database8[[#This Row],[SEQ]])</f>
        <v>S0M0207</v>
      </c>
      <c r="G34" s="142" t="s">
        <v>131</v>
      </c>
      <c r="H34" s="142" t="s">
        <v>126</v>
      </c>
      <c r="I34" s="142" t="s">
        <v>127</v>
      </c>
      <c r="J34" s="143">
        <v>41730</v>
      </c>
      <c r="K34" s="143">
        <v>41743</v>
      </c>
      <c r="L34" s="143">
        <v>41765</v>
      </c>
      <c r="M34" s="143">
        <v>41809</v>
      </c>
      <c r="N34" s="144"/>
      <c r="O34" s="140"/>
      <c r="P34" s="140"/>
      <c r="Q34" s="140">
        <v>75000</v>
      </c>
      <c r="R34" s="140">
        <f>+Table_Query_from_MS_Access_Database8[[#This Row],[HSIP]]+Table_Query_from_MS_Access_Database8[[#This Row],[PL]]+Table_Query_from_MS_Access_Database8[[#This Row],[SPR]]+Table_Query_from_MS_Access_Database8[[#This Row],[STP OTHER]]</f>
        <v>75000</v>
      </c>
      <c r="S34" s="114">
        <f>S33-Table_Query_from_MS_Access_Database8[TOTAL OF AMOUNT]</f>
        <v>0.28786858078092337</v>
      </c>
    </row>
    <row r="35" spans="1:19" s="60" customFormat="1" ht="13.2" x14ac:dyDescent="0.3">
      <c r="E35" s="55"/>
      <c r="F35" s="55"/>
      <c r="G35" s="55"/>
      <c r="H35" s="55"/>
      <c r="I35" s="55"/>
      <c r="J35" s="55"/>
      <c r="K35" s="55"/>
      <c r="L35" s="55"/>
      <c r="M35" s="91" t="s">
        <v>90</v>
      </c>
      <c r="N35" s="123">
        <f>SUM(Table_Query_from_MS_Access_Database8[[#All],[HSIP]])</f>
        <v>204433</v>
      </c>
      <c r="O35" s="123">
        <f>SUM(Table_Query_from_MS_Access_Database8[[#All],[PL]])</f>
        <v>292758</v>
      </c>
      <c r="P35" s="123">
        <f>SUM(Table_Query_from_MS_Access_Database8[[#All],[SPR]])</f>
        <v>210875</v>
      </c>
      <c r="Q35" s="123">
        <f>SUM(Table_Query_from_MS_Access_Database8[[#All],[STP OTHER]])</f>
        <v>2080929.1</v>
      </c>
      <c r="R35" s="123">
        <f>SUM(Table_Query_from_MS_Access_Database8[[#All],[TOTAL OF AMOUNT]])</f>
        <v>2788995.1</v>
      </c>
      <c r="S35" s="136"/>
    </row>
    <row r="36" spans="1:19" s="60" customFormat="1" ht="13.2" x14ac:dyDescent="0.3">
      <c r="A36" s="116"/>
      <c r="B36" s="116"/>
      <c r="C36" s="116"/>
      <c r="D36" s="116"/>
      <c r="E36" s="55"/>
      <c r="F36" s="55"/>
      <c r="G36" s="55"/>
      <c r="H36" s="55"/>
      <c r="I36" s="55"/>
      <c r="J36" s="55"/>
      <c r="K36" s="55"/>
      <c r="L36" s="55"/>
      <c r="M36" s="91" t="s">
        <v>89</v>
      </c>
      <c r="N36" s="133">
        <f>+N12-N35</f>
        <v>122075</v>
      </c>
      <c r="O36" s="133">
        <f>+O12-O35</f>
        <v>1</v>
      </c>
      <c r="P36" s="133">
        <f>+P12-P35</f>
        <v>7875</v>
      </c>
      <c r="Q36" s="133">
        <f>+Q12-Q35</f>
        <v>90173.899999999907</v>
      </c>
      <c r="R36" s="133">
        <f>+R12-R35</f>
        <v>220124.89999999991</v>
      </c>
      <c r="S36" s="130"/>
    </row>
    <row r="37" spans="1:19" s="60" customFormat="1" ht="15" x14ac:dyDescent="0.3">
      <c r="A37" s="62"/>
      <c r="B37" s="62"/>
      <c r="C37" s="62"/>
      <c r="D37" s="62"/>
      <c r="E37" s="56"/>
      <c r="F37" s="56"/>
      <c r="G37" s="56"/>
      <c r="H37" s="56"/>
      <c r="I37" s="56"/>
      <c r="J37" s="56"/>
      <c r="K37" s="56"/>
      <c r="L37" s="56"/>
      <c r="M37" s="62"/>
      <c r="N37" s="62"/>
      <c r="O37" s="62"/>
      <c r="P37" s="62"/>
      <c r="Q37" s="62"/>
      <c r="R37" s="62"/>
      <c r="S37" s="54"/>
    </row>
    <row r="38" spans="1:19" s="60" customFormat="1" ht="16.8" x14ac:dyDescent="0.35">
      <c r="A38" s="147" t="s">
        <v>36</v>
      </c>
      <c r="B38" s="147"/>
      <c r="C38" s="147"/>
      <c r="D38" s="147"/>
      <c r="E38" s="61"/>
      <c r="F38" s="61"/>
      <c r="G38" s="62"/>
      <c r="H38" s="62"/>
      <c r="I38" s="62"/>
      <c r="J38" s="64"/>
      <c r="K38" s="63"/>
      <c r="L38" s="63"/>
      <c r="M38" s="63"/>
      <c r="N38" s="63"/>
      <c r="O38" s="54"/>
      <c r="P38" s="54"/>
      <c r="Q38" s="56"/>
      <c r="R38" s="56"/>
      <c r="S38" s="54"/>
    </row>
    <row r="39" spans="1:19" s="57" customFormat="1" ht="39.6" x14ac:dyDescent="0.3">
      <c r="A39" s="92" t="s">
        <v>1</v>
      </c>
      <c r="B39" s="92" t="s">
        <v>0</v>
      </c>
      <c r="C39" s="92" t="s">
        <v>3</v>
      </c>
      <c r="D39" s="92" t="s">
        <v>99</v>
      </c>
      <c r="E39" s="92" t="s">
        <v>2</v>
      </c>
      <c r="F39" s="92" t="s">
        <v>60</v>
      </c>
      <c r="G39" s="92" t="s">
        <v>52</v>
      </c>
      <c r="H39" s="92" t="s">
        <v>53</v>
      </c>
      <c r="I39" s="92" t="s">
        <v>54</v>
      </c>
      <c r="J39" s="92" t="s">
        <v>55</v>
      </c>
      <c r="K39" s="92" t="s">
        <v>56</v>
      </c>
      <c r="L39" s="92" t="s">
        <v>57</v>
      </c>
      <c r="M39" s="92" t="s">
        <v>58</v>
      </c>
      <c r="N39" s="92" t="s">
        <v>4</v>
      </c>
      <c r="O39" s="92" t="s">
        <v>45</v>
      </c>
      <c r="P39" s="92" t="s">
        <v>5</v>
      </c>
      <c r="Q39" s="92" t="s">
        <v>59</v>
      </c>
      <c r="R39" s="92" t="s">
        <v>100</v>
      </c>
      <c r="S39" s="96" t="s">
        <v>61</v>
      </c>
    </row>
    <row r="40" spans="1:19" s="57" customFormat="1" x14ac:dyDescent="0.3">
      <c r="A40" s="60"/>
      <c r="B40" s="60"/>
      <c r="C40" s="60"/>
      <c r="D40" s="60"/>
      <c r="E40" s="60"/>
      <c r="F40" s="60" t="str">
        <f>CONCATENATE(Table_Query_from_MS_Access_Database_1[[#This Row],[RTE]],Table_Query_from_MS_Access_Database_1[[#This Row],[SEC]],Table_Query_from_MS_Access_Database_1[[#This Row],[SEQ]])</f>
        <v/>
      </c>
      <c r="G40" s="60"/>
      <c r="H40" s="60"/>
      <c r="I40" s="60"/>
      <c r="J40" s="95"/>
      <c r="K40" s="95"/>
      <c r="L40" s="95"/>
      <c r="M40" s="95"/>
      <c r="N40" s="130"/>
      <c r="O40" s="130"/>
      <c r="P40" s="130"/>
      <c r="Q40" s="102"/>
      <c r="R40" s="130">
        <f>+SUM(Table_Query_from_MS_Access_Database_1[[#This Row],[HSIP]:[STP OTHER]])</f>
        <v>0</v>
      </c>
      <c r="S40" s="114">
        <f>S34-Table_Query_from_MS_Access_Database_1[TOTAL OF AMOUNT]</f>
        <v>0.28786858078092337</v>
      </c>
    </row>
    <row r="41" spans="1:19" s="60" customFormat="1" ht="13.2" x14ac:dyDescent="0.3">
      <c r="J41" s="65"/>
      <c r="K41" s="65"/>
      <c r="L41" s="65"/>
      <c r="M41" s="93" t="s">
        <v>101</v>
      </c>
      <c r="N41" s="131">
        <f>SUM(Table_Query_from_MS_Access_Database_1[[#All],[HSIP]])</f>
        <v>0</v>
      </c>
      <c r="O41" s="131">
        <f>SUM(Table_Query_from_MS_Access_Database_1[[#All],[PL]])</f>
        <v>0</v>
      </c>
      <c r="P41" s="131">
        <f>SUM(Table_Query_from_MS_Access_Database_1[[#All],[SPR]])</f>
        <v>0</v>
      </c>
      <c r="Q41" s="131">
        <f>SUM(Table_Query_from_MS_Access_Database_1[[#All],[STP OTHER]])</f>
        <v>0</v>
      </c>
      <c r="R41" s="131">
        <f>SUM(Table_Query_from_MS_Access_Database_1[[#All],[TOTAL OF AMOUNT]])</f>
        <v>0</v>
      </c>
      <c r="S41" s="132"/>
    </row>
    <row r="42" spans="1:19" s="60" customFormat="1" ht="13.2" x14ac:dyDescent="0.3">
      <c r="J42" s="65"/>
      <c r="K42" s="65"/>
      <c r="L42" s="65"/>
      <c r="M42" s="94" t="s">
        <v>89</v>
      </c>
      <c r="N42" s="133">
        <f>+N36-N41</f>
        <v>122075</v>
      </c>
      <c r="O42" s="133">
        <f>+O36-O41</f>
        <v>1</v>
      </c>
      <c r="P42" s="133">
        <f>+P36-P41</f>
        <v>7875</v>
      </c>
      <c r="Q42" s="133">
        <f>+Q36-Q41</f>
        <v>90173.899999999907</v>
      </c>
      <c r="R42" s="133">
        <f>+R36-R41</f>
        <v>220124.89999999991</v>
      </c>
      <c r="S42" s="132"/>
    </row>
    <row r="43" spans="1:19" s="60" customFormat="1" x14ac:dyDescent="0.3">
      <c r="A43" s="57"/>
      <c r="B43" s="57"/>
      <c r="C43" s="57"/>
      <c r="D43" s="57"/>
      <c r="E43" s="57"/>
      <c r="F43" s="57"/>
      <c r="G43" s="57"/>
      <c r="H43" s="57"/>
      <c r="I43" s="57"/>
      <c r="J43" s="59"/>
      <c r="K43" s="59"/>
      <c r="L43" s="59"/>
      <c r="M43" s="59"/>
      <c r="N43" s="59"/>
      <c r="O43" s="59"/>
      <c r="P43" s="59"/>
      <c r="Q43" s="59"/>
      <c r="R43" s="57"/>
      <c r="S43" s="57"/>
    </row>
    <row r="44" spans="1:19" s="60" customFormat="1" ht="16.8" x14ac:dyDescent="0.3">
      <c r="A44" s="66" t="s">
        <v>92</v>
      </c>
      <c r="B44" s="57"/>
      <c r="C44" s="57"/>
      <c r="D44" s="57"/>
      <c r="E44" s="57"/>
      <c r="F44" s="57"/>
      <c r="G44" s="57"/>
      <c r="H44" s="57"/>
      <c r="I44" s="57"/>
      <c r="J44" s="59"/>
      <c r="K44" s="59"/>
      <c r="L44" s="59"/>
      <c r="M44" s="59"/>
      <c r="N44" s="145" t="s">
        <v>70</v>
      </c>
      <c r="O44" s="145"/>
      <c r="P44" s="145"/>
      <c r="Q44" s="145"/>
      <c r="R44" s="61"/>
      <c r="S44" s="57"/>
    </row>
    <row r="45" spans="1:19" s="60" customFormat="1" ht="13.2" x14ac:dyDescent="0.3">
      <c r="J45" s="65"/>
      <c r="K45" s="65"/>
      <c r="L45" s="65"/>
      <c r="M45" s="137"/>
      <c r="N45" s="138" t="s">
        <v>4</v>
      </c>
      <c r="O45" s="138" t="s">
        <v>45</v>
      </c>
      <c r="P45" s="138" t="s">
        <v>5</v>
      </c>
      <c r="Q45" s="138" t="s">
        <v>71</v>
      </c>
      <c r="R45" s="138" t="s">
        <v>62</v>
      </c>
      <c r="S45" s="139" t="s">
        <v>72</v>
      </c>
    </row>
    <row r="46" spans="1:19" s="57" customFormat="1" x14ac:dyDescent="0.3">
      <c r="A46" s="60"/>
      <c r="B46" s="60"/>
      <c r="C46" s="60"/>
      <c r="D46" s="60"/>
      <c r="E46" s="60"/>
      <c r="F46" s="60"/>
      <c r="G46" s="60"/>
      <c r="H46" s="60"/>
      <c r="I46" s="60"/>
      <c r="J46" s="65"/>
      <c r="K46" s="65"/>
      <c r="L46" s="65"/>
      <c r="M46" s="121" t="s">
        <v>205</v>
      </c>
      <c r="N46" s="123">
        <f>+N42</f>
        <v>122075</v>
      </c>
      <c r="O46" s="123">
        <f>+O42</f>
        <v>1</v>
      </c>
      <c r="P46" s="123">
        <f>+P42-P48</f>
        <v>7875</v>
      </c>
      <c r="Q46" s="123">
        <f>+Q42</f>
        <v>90173.899999999907</v>
      </c>
      <c r="R46" s="123">
        <f>SUM(N46:Q46)</f>
        <v>220124.89999999991</v>
      </c>
      <c r="S46" s="123">
        <f>S40-P48</f>
        <v>0.28786858078092337</v>
      </c>
    </row>
    <row r="47" spans="1:19" x14ac:dyDescent="0.3">
      <c r="A47" s="60"/>
      <c r="B47" s="60"/>
      <c r="C47" s="60"/>
      <c r="D47" s="60"/>
      <c r="E47" s="60"/>
      <c r="F47" s="60"/>
      <c r="G47" s="60"/>
      <c r="H47" s="60"/>
      <c r="I47" s="60"/>
      <c r="J47" s="65"/>
      <c r="K47" s="65"/>
      <c r="L47" s="65"/>
      <c r="M47" s="121" t="s">
        <v>206</v>
      </c>
      <c r="N47" s="124">
        <f>SUMIFS(Table_Query_from_MS_Access_Database[[#All],[HSIP]],Table_Query_from_MS_Access_Database[[#All],[Transaction Year]],"2014",Table_Query_from_MS_Access_Database[[#All],[Transaction Type]],"Lapsing")</f>
        <v>-122075</v>
      </c>
      <c r="O47" s="124">
        <f>SUMIFS(Table_Query_from_MS_Access_Database[[#All],[PL]],Table_Query_from_MS_Access_Database[[#All],[Transaction Year]],"2014",Table_Query_from_MS_Access_Database[[#All],[Transaction Type]],"Lapsing")</f>
        <v>-1</v>
      </c>
      <c r="P47" s="124">
        <f>SUMIFS(Table_Query_from_MS_Access_Database[[#All],[SPR]],Table_Query_from_MS_Access_Database[[#All],[Transaction Year]],"2014",Table_Query_from_MS_Access_Database[[#All],[Transaction Type]],"Lapsing")</f>
        <v>-7875</v>
      </c>
      <c r="Q47" s="124">
        <f>SUMIFS(Table_Query_from_MS_Access_Database[[#All],[STP other]],Table_Query_from_MS_Access_Database[[#All],[Transaction Year]],"2014",Table_Query_from_MS_Access_Database[[#All],[Transaction Type]],"Lapsing")</f>
        <v>-90173.9</v>
      </c>
      <c r="R47" s="124">
        <f>SUM(N47:Q47)</f>
        <v>-220124.9</v>
      </c>
      <c r="S47" s="124">
        <f>SUMIFS(Table_Query_from_MS_Access_Database_16[[#All],[Total]],Table_Query_from_MS_Access_Database_16[[#All],[Transaction Year]],"2014",Table_Query_from_MS_Access_Database_16[[#All],[Transaction Type]],"Lapsing")</f>
        <v>-0.28999999999999998</v>
      </c>
    </row>
    <row r="48" spans="1:19" x14ac:dyDescent="0.3">
      <c r="A48" s="60"/>
      <c r="B48" s="60"/>
      <c r="C48" s="60"/>
      <c r="D48" s="60"/>
      <c r="E48" s="60"/>
      <c r="F48" s="60"/>
      <c r="G48" s="60"/>
      <c r="H48" s="60"/>
      <c r="I48" s="60"/>
      <c r="J48" s="65"/>
      <c r="K48" s="65"/>
      <c r="L48" s="65"/>
      <c r="M48" s="121" t="s">
        <v>207</v>
      </c>
      <c r="N48" s="129">
        <f>SUM(N46:N47)</f>
        <v>0</v>
      </c>
      <c r="O48" s="129">
        <f>SUM(O46:O47)</f>
        <v>0</v>
      </c>
      <c r="P48" s="129">
        <v>0</v>
      </c>
      <c r="Q48" s="129">
        <f>SUM(Q46:Q47)</f>
        <v>0</v>
      </c>
      <c r="R48" s="129">
        <f>SUM(N48:Q48)</f>
        <v>0</v>
      </c>
      <c r="S48" s="129">
        <f>P48</f>
        <v>0</v>
      </c>
    </row>
    <row r="49" spans="1:19" x14ac:dyDescent="0.3">
      <c r="A49" s="60"/>
      <c r="B49" s="60"/>
      <c r="C49" s="60"/>
      <c r="D49" s="60"/>
      <c r="E49" s="60"/>
      <c r="F49" s="60"/>
      <c r="G49" s="60"/>
      <c r="H49" s="60"/>
      <c r="I49" s="60"/>
      <c r="J49" s="65"/>
      <c r="K49" s="65"/>
      <c r="L49" s="65"/>
      <c r="M49" s="122" t="s">
        <v>91</v>
      </c>
      <c r="N49" s="124">
        <f>+N46-N42</f>
        <v>0</v>
      </c>
      <c r="O49" s="124">
        <f>+O46-O42</f>
        <v>0</v>
      </c>
      <c r="P49" s="124">
        <f>+P42-P46-P48</f>
        <v>0</v>
      </c>
      <c r="Q49" s="124">
        <f>+Q46-Q42</f>
        <v>0</v>
      </c>
      <c r="R49" s="124">
        <v>0</v>
      </c>
      <c r="S49" s="124">
        <v>0</v>
      </c>
    </row>
    <row r="50" spans="1:19" x14ac:dyDescent="0.3">
      <c r="A50" s="57"/>
      <c r="B50" s="57"/>
      <c r="C50" s="57"/>
      <c r="D50" s="57"/>
      <c r="E50" s="57"/>
      <c r="F50" s="57"/>
      <c r="G50" s="57"/>
      <c r="H50" s="57"/>
      <c r="I50" s="57"/>
      <c r="J50" s="59"/>
      <c r="K50" s="59"/>
      <c r="L50" s="59"/>
      <c r="M50" s="59"/>
      <c r="N50" s="59"/>
      <c r="O50" s="59"/>
      <c r="P50" s="59"/>
      <c r="Q50" s="59"/>
      <c r="R50" s="57"/>
      <c r="S50" s="57"/>
    </row>
  </sheetData>
  <sheetProtection autoFilter="0"/>
  <mergeCells count="10">
    <mergeCell ref="N44:Q44"/>
    <mergeCell ref="A1:F1"/>
    <mergeCell ref="A14:D14"/>
    <mergeCell ref="A9:L9"/>
    <mergeCell ref="N1:S1"/>
    <mergeCell ref="J14:M14"/>
    <mergeCell ref="A38:D38"/>
    <mergeCell ref="N2:R2"/>
    <mergeCell ref="A3:C4"/>
    <mergeCell ref="A5:C5"/>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47"/>
  <sheetViews>
    <sheetView zoomScaleNormal="100" workbookViewId="0">
      <selection sqref="A1:F1"/>
    </sheetView>
  </sheetViews>
  <sheetFormatPr defaultColWidth="19.6640625" defaultRowHeight="14.4" x14ac:dyDescent="0.3"/>
  <cols>
    <col min="1" max="1" width="18.5546875" style="25" customWidth="1"/>
    <col min="2" max="2" width="19" style="25" customWidth="1"/>
    <col min="3" max="3" width="15" style="25" customWidth="1"/>
    <col min="4" max="4" width="18.44140625" style="25" customWidth="1"/>
    <col min="5" max="5" width="11.77734375" style="25" customWidth="1"/>
    <col min="6" max="6" width="10" style="25" customWidth="1"/>
    <col min="7" max="7" width="13.44140625" style="25" customWidth="1"/>
    <col min="8" max="8" width="11.77734375" style="26" customWidth="1"/>
    <col min="9" max="9" width="6.5546875" style="25" customWidth="1"/>
    <col min="10" max="10" width="9.77734375" style="25" customWidth="1"/>
    <col min="11" max="11" width="12.6640625" style="25" customWidth="1"/>
    <col min="12" max="12" width="16.5546875" style="25" customWidth="1"/>
    <col min="13" max="13" width="11.77734375" style="25" customWidth="1"/>
    <col min="14" max="14" width="15.6640625" style="25" customWidth="1"/>
    <col min="15" max="15" width="8.88671875" style="25" customWidth="1"/>
    <col min="16" max="16" width="8.33203125" style="25" customWidth="1"/>
    <col min="17" max="17" width="11.5546875" style="25" customWidth="1"/>
    <col min="18" max="18" width="46.6640625" style="25" customWidth="1"/>
    <col min="19" max="20" width="9.5546875" style="25" customWidth="1"/>
    <col min="21" max="21" width="11.88671875" style="25" customWidth="1"/>
    <col min="22" max="22" width="64.33203125" style="25" customWidth="1"/>
    <col min="23" max="23" width="14" style="25" customWidth="1"/>
    <col min="24" max="24" width="16.88671875" style="25" customWidth="1"/>
    <col min="25" max="25" width="12.109375" style="25" customWidth="1"/>
    <col min="26" max="26" width="16" style="25" customWidth="1"/>
    <col min="27" max="16384" width="19.6640625" style="9"/>
  </cols>
  <sheetData>
    <row r="1" spans="1:26" ht="18.600000000000001" x14ac:dyDescent="0.35">
      <c r="A1" s="156" t="str">
        <f>+'Federal Funds Transactions'!A1:F1</f>
        <v>Yuma Metropolitan Planning Organization</v>
      </c>
      <c r="B1" s="156"/>
      <c r="C1" s="156"/>
      <c r="D1" s="156"/>
      <c r="E1" s="156"/>
      <c r="F1" s="156"/>
    </row>
    <row r="2" spans="1:26" x14ac:dyDescent="0.35">
      <c r="A2" s="27"/>
      <c r="B2" s="27"/>
      <c r="C2" s="27"/>
      <c r="D2" s="27"/>
      <c r="E2" s="27"/>
      <c r="F2" s="27"/>
    </row>
    <row r="3" spans="1:26" x14ac:dyDescent="0.35">
      <c r="A3" s="157" t="s">
        <v>98</v>
      </c>
      <c r="B3" s="157"/>
      <c r="C3" s="157"/>
      <c r="D3" s="157"/>
      <c r="E3" s="157"/>
      <c r="F3" s="157"/>
    </row>
    <row r="4" spans="1:26" x14ac:dyDescent="0.35">
      <c r="A4" s="28"/>
      <c r="B4" s="28"/>
      <c r="C4" s="28"/>
      <c r="D4" s="28"/>
      <c r="E4" s="28"/>
      <c r="F4" s="28"/>
    </row>
    <row r="5" spans="1:26" x14ac:dyDescent="0.35">
      <c r="A5" s="25" t="s">
        <v>97</v>
      </c>
      <c r="B5" s="75">
        <f>+'Federal Funds Transactions'!C5</f>
        <v>0</v>
      </c>
      <c r="C5" s="27"/>
      <c r="D5" s="27"/>
      <c r="E5" s="27"/>
      <c r="F5" s="27"/>
    </row>
    <row r="6" spans="1:26" x14ac:dyDescent="0.35">
      <c r="A6" s="27"/>
      <c r="B6" s="27"/>
      <c r="C6" s="27"/>
      <c r="D6" s="27"/>
      <c r="E6" s="27"/>
      <c r="F6" s="27"/>
    </row>
    <row r="7" spans="1:26" ht="15" customHeight="1" x14ac:dyDescent="0.35">
      <c r="A7" s="160" t="str">
        <f>+'Federal Funds Transactions'!A9:L9</f>
        <v>IMPORTANT! Please review the information in the Notes tab for further explanation of the data in this document.</v>
      </c>
      <c r="B7" s="160"/>
      <c r="C7" s="160"/>
      <c r="D7" s="160"/>
      <c r="E7" s="160"/>
      <c r="F7" s="160"/>
      <c r="G7" s="160"/>
      <c r="H7" s="160"/>
    </row>
    <row r="9" spans="1:26" ht="15.75" customHeight="1" x14ac:dyDescent="0.35">
      <c r="A9" s="158" t="s">
        <v>95</v>
      </c>
      <c r="B9" s="158"/>
      <c r="C9" s="158"/>
      <c r="D9" s="158"/>
      <c r="E9" s="158"/>
      <c r="F9" s="158"/>
      <c r="G9" s="158"/>
      <c r="M9" s="29"/>
      <c r="N9" s="29"/>
      <c r="O9" s="29"/>
      <c r="P9" s="29"/>
      <c r="Q9" s="29"/>
      <c r="R9" s="29"/>
      <c r="S9" s="29"/>
      <c r="T9" s="29"/>
      <c r="U9" s="29"/>
      <c r="V9" s="29"/>
      <c r="W9" s="29"/>
      <c r="X9" s="29"/>
    </row>
    <row r="10" spans="1:26" ht="15.6" x14ac:dyDescent="0.35">
      <c r="A10" s="30"/>
      <c r="B10" s="30"/>
      <c r="C10" s="30"/>
      <c r="D10" s="30"/>
      <c r="E10" s="31"/>
      <c r="F10" s="31"/>
      <c r="G10" s="31"/>
      <c r="H10" s="32"/>
      <c r="I10" s="31"/>
      <c r="J10" s="31"/>
      <c r="K10" s="31"/>
      <c r="L10" s="31"/>
      <c r="M10" s="29"/>
      <c r="N10" s="29"/>
      <c r="O10" s="29"/>
      <c r="P10" s="29"/>
      <c r="Q10" s="29"/>
      <c r="R10" s="29"/>
      <c r="S10" s="29"/>
      <c r="T10" s="29"/>
      <c r="U10" s="29"/>
      <c r="V10" s="29"/>
      <c r="W10" s="29"/>
      <c r="X10" s="29"/>
      <c r="Y10" s="31"/>
      <c r="Z10" s="31"/>
    </row>
    <row r="11" spans="1:26" x14ac:dyDescent="0.3">
      <c r="A11" s="82" t="s">
        <v>49</v>
      </c>
      <c r="B11" s="83" t="s">
        <v>50</v>
      </c>
      <c r="C11" s="83" t="s">
        <v>13</v>
      </c>
      <c r="D11" s="83" t="s">
        <v>51</v>
      </c>
      <c r="E11" s="83" t="s">
        <v>10</v>
      </c>
      <c r="F11" s="83" t="s">
        <v>43</v>
      </c>
      <c r="G11" s="83" t="s">
        <v>44</v>
      </c>
      <c r="H11" s="83" t="s">
        <v>4</v>
      </c>
      <c r="I11" s="83" t="s">
        <v>45</v>
      </c>
      <c r="J11" s="83" t="s">
        <v>5</v>
      </c>
      <c r="K11" s="83" t="s">
        <v>6</v>
      </c>
      <c r="L11" s="83" t="s">
        <v>46</v>
      </c>
      <c r="M11" s="83" t="s">
        <v>47</v>
      </c>
      <c r="N11" s="83" t="s">
        <v>48</v>
      </c>
      <c r="O11" s="83" t="s">
        <v>104</v>
      </c>
      <c r="P11" s="83" t="s">
        <v>105</v>
      </c>
      <c r="Q11" s="83" t="s">
        <v>106</v>
      </c>
      <c r="R11" s="84" t="s">
        <v>107</v>
      </c>
      <c r="S11" s="31"/>
      <c r="T11" s="31"/>
      <c r="U11" s="31"/>
      <c r="V11" s="31"/>
      <c r="W11" s="9"/>
      <c r="X11" s="9"/>
      <c r="Y11" s="9"/>
      <c r="Z11" s="9"/>
    </row>
    <row r="12" spans="1:26" x14ac:dyDescent="0.3">
      <c r="A12" s="69" t="s">
        <v>173</v>
      </c>
      <c r="B12" s="67" t="s">
        <v>208</v>
      </c>
      <c r="C12" s="67" t="s">
        <v>209</v>
      </c>
      <c r="D12" s="67" t="s">
        <v>210</v>
      </c>
      <c r="E12" s="67">
        <v>-220124.9</v>
      </c>
      <c r="F12" s="67"/>
      <c r="G12" s="67"/>
      <c r="H12" s="67">
        <v>-122075</v>
      </c>
      <c r="I12" s="67">
        <v>-1</v>
      </c>
      <c r="J12" s="67">
        <v>-7875</v>
      </c>
      <c r="K12" s="67">
        <v>-90173.9</v>
      </c>
      <c r="L12" s="67"/>
      <c r="M12" s="67"/>
      <c r="N12" s="67"/>
      <c r="O12" s="68" t="s">
        <v>111</v>
      </c>
      <c r="P12" s="68" t="s">
        <v>154</v>
      </c>
      <c r="Q12" s="68"/>
      <c r="R12" s="71" t="s">
        <v>211</v>
      </c>
      <c r="S12" s="80"/>
      <c r="T12" s="80"/>
      <c r="U12" s="80"/>
      <c r="V12" s="80"/>
      <c r="W12" s="9"/>
      <c r="X12" s="9"/>
      <c r="Y12" s="9"/>
      <c r="Z12" s="9"/>
    </row>
    <row r="13" spans="1:26" x14ac:dyDescent="0.3">
      <c r="A13" s="70" t="s">
        <v>173</v>
      </c>
      <c r="B13" s="68" t="s">
        <v>148</v>
      </c>
      <c r="C13" s="68" t="s">
        <v>174</v>
      </c>
      <c r="D13" s="68" t="s">
        <v>176</v>
      </c>
      <c r="E13" s="68">
        <v>185000</v>
      </c>
      <c r="F13" s="68"/>
      <c r="G13" s="68"/>
      <c r="H13" s="68"/>
      <c r="I13" s="68"/>
      <c r="J13" s="68"/>
      <c r="K13" s="68">
        <v>185000</v>
      </c>
      <c r="L13" s="68"/>
      <c r="M13" s="68"/>
      <c r="N13" s="68"/>
      <c r="O13" s="68" t="s">
        <v>175</v>
      </c>
      <c r="P13" s="68" t="s">
        <v>111</v>
      </c>
      <c r="Q13" s="68"/>
      <c r="R13" s="71" t="s">
        <v>177</v>
      </c>
      <c r="S13" s="80"/>
      <c r="T13" s="80"/>
      <c r="U13" s="80"/>
      <c r="V13" s="80"/>
      <c r="W13" s="9"/>
      <c r="X13" s="9"/>
      <c r="Y13" s="9"/>
      <c r="Z13" s="9"/>
    </row>
    <row r="14" spans="1:26" x14ac:dyDescent="0.3">
      <c r="A14" s="70" t="s">
        <v>173</v>
      </c>
      <c r="B14" s="68" t="s">
        <v>148</v>
      </c>
      <c r="C14" s="68" t="s">
        <v>196</v>
      </c>
      <c r="D14" s="68" t="s">
        <v>200</v>
      </c>
      <c r="E14" s="68">
        <v>344267</v>
      </c>
      <c r="F14" s="68"/>
      <c r="G14" s="68"/>
      <c r="H14" s="68"/>
      <c r="I14" s="68"/>
      <c r="J14" s="68"/>
      <c r="K14" s="68">
        <v>344267</v>
      </c>
      <c r="L14" s="68"/>
      <c r="M14" s="68"/>
      <c r="N14" s="68"/>
      <c r="O14" s="68" t="s">
        <v>154</v>
      </c>
      <c r="P14" s="68" t="s">
        <v>111</v>
      </c>
      <c r="Q14" s="68"/>
      <c r="R14" s="71" t="s">
        <v>197</v>
      </c>
      <c r="S14" s="80"/>
      <c r="T14" s="80"/>
      <c r="U14" s="80"/>
      <c r="V14" s="80"/>
      <c r="W14" s="9"/>
      <c r="X14" s="9"/>
      <c r="Y14" s="9"/>
      <c r="Z14" s="9"/>
    </row>
    <row r="15" spans="1:26" x14ac:dyDescent="0.3">
      <c r="A15" s="70" t="s">
        <v>173</v>
      </c>
      <c r="B15" s="68" t="s">
        <v>149</v>
      </c>
      <c r="C15" s="68" t="s">
        <v>191</v>
      </c>
      <c r="D15" s="68" t="s">
        <v>193</v>
      </c>
      <c r="E15" s="68">
        <v>-193259</v>
      </c>
      <c r="F15" s="68"/>
      <c r="G15" s="68"/>
      <c r="H15" s="68">
        <v>-193259</v>
      </c>
      <c r="I15" s="68"/>
      <c r="J15" s="68"/>
      <c r="K15" s="68"/>
      <c r="L15" s="68"/>
      <c r="M15" s="68"/>
      <c r="N15" s="68"/>
      <c r="O15" s="68" t="s">
        <v>111</v>
      </c>
      <c r="P15" s="68" t="s">
        <v>192</v>
      </c>
      <c r="Q15" s="68"/>
      <c r="R15" s="71" t="s">
        <v>194</v>
      </c>
      <c r="S15" s="80"/>
      <c r="T15" s="80"/>
      <c r="U15" s="80"/>
      <c r="V15" s="80"/>
      <c r="W15" s="9"/>
      <c r="X15" s="9"/>
      <c r="Y15" s="9"/>
      <c r="Z15" s="9"/>
    </row>
    <row r="16" spans="1:26" x14ac:dyDescent="0.3">
      <c r="A16" s="70" t="s">
        <v>198</v>
      </c>
      <c r="B16" s="68" t="s">
        <v>151</v>
      </c>
      <c r="C16" s="68" t="s">
        <v>196</v>
      </c>
      <c r="D16" s="68"/>
      <c r="E16" s="68">
        <v>-200000</v>
      </c>
      <c r="F16" s="68"/>
      <c r="G16" s="68"/>
      <c r="H16" s="68"/>
      <c r="I16" s="68"/>
      <c r="J16" s="68"/>
      <c r="K16" s="68">
        <v>-200000</v>
      </c>
      <c r="L16" s="68"/>
      <c r="M16" s="68"/>
      <c r="N16" s="68"/>
      <c r="O16" s="68" t="s">
        <v>111</v>
      </c>
      <c r="P16" s="68" t="s">
        <v>154</v>
      </c>
      <c r="Q16" s="68"/>
      <c r="R16" s="71" t="s">
        <v>199</v>
      </c>
      <c r="S16" s="80"/>
      <c r="T16" s="80"/>
      <c r="U16" s="80"/>
      <c r="V16" s="80"/>
      <c r="W16" s="9"/>
      <c r="X16" s="9"/>
      <c r="Y16" s="9"/>
      <c r="Z16" s="9"/>
    </row>
    <row r="17" spans="1:26" x14ac:dyDescent="0.3">
      <c r="A17" s="72" t="s">
        <v>193</v>
      </c>
      <c r="B17" s="73" t="s">
        <v>150</v>
      </c>
      <c r="C17" s="73" t="s">
        <v>191</v>
      </c>
      <c r="D17" s="73"/>
      <c r="E17" s="73">
        <v>193259</v>
      </c>
      <c r="F17" s="73"/>
      <c r="G17" s="73"/>
      <c r="H17" s="73">
        <v>193259</v>
      </c>
      <c r="I17" s="73"/>
      <c r="J17" s="73"/>
      <c r="K17" s="73"/>
      <c r="L17" s="73"/>
      <c r="M17" s="73"/>
      <c r="N17" s="73"/>
      <c r="O17" s="73" t="s">
        <v>192</v>
      </c>
      <c r="P17" s="73" t="s">
        <v>111</v>
      </c>
      <c r="Q17" s="73"/>
      <c r="R17" s="74" t="s">
        <v>195</v>
      </c>
      <c r="S17" s="80"/>
      <c r="T17" s="80"/>
      <c r="U17" s="80"/>
      <c r="V17" s="80"/>
      <c r="W17" s="9"/>
      <c r="X17" s="9"/>
      <c r="Y17" s="9"/>
      <c r="Z17" s="9"/>
    </row>
    <row r="18" spans="1:26" x14ac:dyDescent="0.3">
      <c r="A18" s="110" t="s">
        <v>193</v>
      </c>
      <c r="B18" s="111" t="s">
        <v>151</v>
      </c>
      <c r="C18" s="111" t="s">
        <v>196</v>
      </c>
      <c r="D18" s="111"/>
      <c r="E18" s="111">
        <v>-144267</v>
      </c>
      <c r="F18" s="111"/>
      <c r="G18" s="111"/>
      <c r="H18" s="111"/>
      <c r="I18" s="111"/>
      <c r="J18" s="111"/>
      <c r="K18" s="111">
        <v>-144267</v>
      </c>
      <c r="L18" s="111"/>
      <c r="M18" s="111"/>
      <c r="N18" s="111"/>
      <c r="O18" s="111" t="s">
        <v>111</v>
      </c>
      <c r="P18" s="111" t="s">
        <v>154</v>
      </c>
      <c r="Q18" s="111"/>
      <c r="R18" s="112" t="s">
        <v>199</v>
      </c>
      <c r="S18" s="80"/>
      <c r="T18" s="80"/>
      <c r="U18" s="80"/>
      <c r="V18" s="80"/>
      <c r="W18" s="9"/>
      <c r="X18" s="9"/>
      <c r="Y18" s="9"/>
      <c r="Z18" s="9"/>
    </row>
    <row r="19" spans="1:26" x14ac:dyDescent="0.3">
      <c r="A19" s="126" t="s">
        <v>176</v>
      </c>
      <c r="B19" s="127" t="s">
        <v>151</v>
      </c>
      <c r="C19" s="127" t="s">
        <v>174</v>
      </c>
      <c r="D19" s="127"/>
      <c r="E19" s="127">
        <v>-185000</v>
      </c>
      <c r="F19" s="127"/>
      <c r="G19" s="127"/>
      <c r="H19" s="127"/>
      <c r="I19" s="127"/>
      <c r="J19" s="127"/>
      <c r="K19" s="127">
        <v>-185000</v>
      </c>
      <c r="L19" s="127"/>
      <c r="M19" s="127"/>
      <c r="N19" s="127"/>
      <c r="O19" s="127" t="s">
        <v>111</v>
      </c>
      <c r="P19" s="127" t="s">
        <v>175</v>
      </c>
      <c r="Q19" s="127"/>
      <c r="R19" s="128" t="s">
        <v>178</v>
      </c>
      <c r="S19" s="80"/>
      <c r="T19" s="80"/>
      <c r="U19" s="80"/>
      <c r="V19" s="80"/>
    </row>
    <row r="20" spans="1:26" x14ac:dyDescent="0.3">
      <c r="A20" s="31"/>
      <c r="B20" s="31"/>
      <c r="C20" s="31"/>
      <c r="D20" s="31"/>
      <c r="E20" s="31"/>
      <c r="F20" s="31"/>
      <c r="G20" s="31"/>
      <c r="H20" s="31"/>
      <c r="I20" s="31"/>
      <c r="J20" s="31"/>
      <c r="K20" s="31"/>
      <c r="L20" s="31"/>
      <c r="M20" s="31"/>
      <c r="N20" s="31"/>
      <c r="O20" s="31"/>
      <c r="P20" s="31"/>
      <c r="Q20" s="31"/>
      <c r="R20" s="31"/>
      <c r="S20" s="80"/>
      <c r="T20" s="80"/>
      <c r="U20" s="80"/>
      <c r="V20" s="80"/>
      <c r="W20" s="81"/>
      <c r="X20" s="81"/>
      <c r="Y20" s="81"/>
      <c r="Z20" s="81"/>
    </row>
    <row r="21" spans="1:26" x14ac:dyDescent="0.3">
      <c r="A21" s="31"/>
      <c r="B21" s="31"/>
      <c r="C21" s="31"/>
      <c r="D21" s="31"/>
      <c r="E21" s="31"/>
      <c r="F21" s="31"/>
      <c r="G21" s="31"/>
      <c r="H21" s="31"/>
      <c r="I21" s="31"/>
      <c r="J21" s="31"/>
      <c r="K21" s="31"/>
      <c r="L21" s="31"/>
      <c r="M21" s="31"/>
      <c r="N21" s="31"/>
      <c r="O21" s="31"/>
      <c r="P21" s="31"/>
      <c r="Q21" s="31"/>
      <c r="R21" s="31"/>
      <c r="S21" s="80"/>
      <c r="T21" s="80"/>
      <c r="U21" s="80"/>
      <c r="V21" s="80"/>
    </row>
    <row r="22" spans="1:26" ht="15.6" x14ac:dyDescent="0.3">
      <c r="A22" s="159" t="s">
        <v>96</v>
      </c>
      <c r="B22" s="159"/>
      <c r="C22" s="159"/>
      <c r="D22" s="159"/>
      <c r="E22" s="159"/>
      <c r="F22" s="159"/>
      <c r="G22" s="159"/>
      <c r="S22" s="80"/>
      <c r="T22" s="80"/>
      <c r="U22" s="80"/>
      <c r="V22" s="80"/>
    </row>
    <row r="24" spans="1:26" x14ac:dyDescent="0.3">
      <c r="A24" s="80" t="s">
        <v>49</v>
      </c>
      <c r="B24" s="80" t="s">
        <v>50</v>
      </c>
      <c r="C24" s="80" t="s">
        <v>13</v>
      </c>
      <c r="D24" s="80" t="s">
        <v>51</v>
      </c>
      <c r="E24" s="80" t="s">
        <v>10</v>
      </c>
      <c r="F24" s="80" t="s">
        <v>43</v>
      </c>
      <c r="G24" s="80" t="s">
        <v>44</v>
      </c>
      <c r="H24" s="80" t="s">
        <v>4</v>
      </c>
      <c r="I24" s="80" t="s">
        <v>45</v>
      </c>
      <c r="J24" s="80" t="s">
        <v>5</v>
      </c>
      <c r="K24" s="80" t="s">
        <v>6</v>
      </c>
      <c r="L24" s="80" t="s">
        <v>46</v>
      </c>
      <c r="M24" s="80" t="s">
        <v>47</v>
      </c>
      <c r="N24" s="80" t="s">
        <v>48</v>
      </c>
      <c r="O24" s="80" t="s">
        <v>104</v>
      </c>
      <c r="P24" s="80" t="s">
        <v>105</v>
      </c>
      <c r="Q24" s="80" t="s">
        <v>106</v>
      </c>
      <c r="R24" s="80" t="s">
        <v>107</v>
      </c>
    </row>
    <row r="25" spans="1:26" x14ac:dyDescent="0.3">
      <c r="A25" s="31" t="s">
        <v>173</v>
      </c>
      <c r="B25" s="31" t="s">
        <v>208</v>
      </c>
      <c r="C25" s="31" t="s">
        <v>209</v>
      </c>
      <c r="D25" s="31" t="s">
        <v>210</v>
      </c>
      <c r="E25" s="31">
        <v>-0.28999999999999998</v>
      </c>
      <c r="F25" s="31"/>
      <c r="G25" s="31"/>
      <c r="H25" s="31">
        <v>0</v>
      </c>
      <c r="I25" s="31">
        <v>0</v>
      </c>
      <c r="J25" s="31">
        <v>0</v>
      </c>
      <c r="K25" s="31">
        <v>0</v>
      </c>
      <c r="L25" s="31"/>
      <c r="M25" s="31"/>
      <c r="N25" s="31"/>
      <c r="O25" s="80" t="s">
        <v>111</v>
      </c>
      <c r="P25" s="80" t="s">
        <v>154</v>
      </c>
      <c r="Q25" s="80"/>
      <c r="R25" s="80" t="s">
        <v>211</v>
      </c>
    </row>
    <row r="26" spans="1:26" x14ac:dyDescent="0.3">
      <c r="A26" s="80" t="s">
        <v>173</v>
      </c>
      <c r="B26" s="80" t="s">
        <v>148</v>
      </c>
      <c r="C26" s="80" t="s">
        <v>174</v>
      </c>
      <c r="D26" s="80" t="s">
        <v>176</v>
      </c>
      <c r="E26" s="80">
        <v>185000</v>
      </c>
      <c r="F26" s="80"/>
      <c r="G26" s="80"/>
      <c r="H26" s="80"/>
      <c r="I26" s="80"/>
      <c r="J26" s="80"/>
      <c r="K26" s="80">
        <v>185000</v>
      </c>
      <c r="L26" s="80"/>
      <c r="M26" s="80"/>
      <c r="N26" s="80"/>
      <c r="O26" s="80" t="s">
        <v>175</v>
      </c>
      <c r="P26" s="80" t="s">
        <v>111</v>
      </c>
      <c r="Q26" s="80"/>
      <c r="R26" s="80" t="s">
        <v>177</v>
      </c>
    </row>
    <row r="27" spans="1:26" x14ac:dyDescent="0.3">
      <c r="A27" s="80" t="s">
        <v>173</v>
      </c>
      <c r="B27" s="80" t="s">
        <v>148</v>
      </c>
      <c r="C27" s="80" t="s">
        <v>196</v>
      </c>
      <c r="D27" s="80" t="s">
        <v>200</v>
      </c>
      <c r="E27" s="80">
        <v>344267</v>
      </c>
      <c r="F27" s="80"/>
      <c r="G27" s="80"/>
      <c r="H27" s="80"/>
      <c r="I27" s="80"/>
      <c r="J27" s="80"/>
      <c r="K27" s="80">
        <v>344267</v>
      </c>
      <c r="L27" s="80"/>
      <c r="M27" s="80"/>
      <c r="N27" s="80"/>
      <c r="O27" s="80" t="s">
        <v>154</v>
      </c>
      <c r="P27" s="80" t="s">
        <v>111</v>
      </c>
      <c r="Q27" s="80"/>
      <c r="R27" s="80" t="s">
        <v>197</v>
      </c>
    </row>
    <row r="28" spans="1:26" x14ac:dyDescent="0.3">
      <c r="A28" s="80" t="s">
        <v>173</v>
      </c>
      <c r="B28" s="80" t="s">
        <v>149</v>
      </c>
      <c r="C28" s="80" t="s">
        <v>191</v>
      </c>
      <c r="D28" s="80" t="s">
        <v>193</v>
      </c>
      <c r="E28" s="80">
        <v>-193259</v>
      </c>
      <c r="F28" s="80"/>
      <c r="G28" s="80"/>
      <c r="H28" s="80">
        <v>-193259</v>
      </c>
      <c r="I28" s="80"/>
      <c r="J28" s="80"/>
      <c r="K28" s="80"/>
      <c r="L28" s="80"/>
      <c r="M28" s="80"/>
      <c r="N28" s="80"/>
      <c r="O28" s="80" t="s">
        <v>111</v>
      </c>
      <c r="P28" s="80" t="s">
        <v>192</v>
      </c>
      <c r="Q28" s="80"/>
      <c r="R28" s="80" t="s">
        <v>194</v>
      </c>
      <c r="S28" s="9"/>
      <c r="T28" s="9"/>
      <c r="U28" s="9"/>
      <c r="V28" s="9"/>
      <c r="W28" s="9"/>
      <c r="X28" s="9"/>
      <c r="Y28" s="9"/>
      <c r="Z28" s="9"/>
    </row>
    <row r="29" spans="1:26" x14ac:dyDescent="0.3">
      <c r="A29" s="80" t="s">
        <v>198</v>
      </c>
      <c r="B29" s="80" t="s">
        <v>151</v>
      </c>
      <c r="C29" s="80" t="s">
        <v>196</v>
      </c>
      <c r="D29" s="80"/>
      <c r="E29" s="80">
        <v>-200000</v>
      </c>
      <c r="F29" s="80"/>
      <c r="G29" s="80"/>
      <c r="H29" s="80"/>
      <c r="I29" s="80"/>
      <c r="J29" s="80"/>
      <c r="K29" s="80">
        <v>-200000</v>
      </c>
      <c r="L29" s="80"/>
      <c r="M29" s="80"/>
      <c r="N29" s="80"/>
      <c r="O29" s="80" t="s">
        <v>111</v>
      </c>
      <c r="P29" s="80" t="s">
        <v>154</v>
      </c>
      <c r="Q29" s="80"/>
      <c r="R29" s="80" t="s">
        <v>199</v>
      </c>
      <c r="S29" s="9"/>
      <c r="T29" s="9"/>
      <c r="U29" s="9"/>
      <c r="V29" s="9"/>
      <c r="W29" s="9"/>
      <c r="X29" s="9"/>
      <c r="Y29" s="9"/>
      <c r="Z29" s="9"/>
    </row>
    <row r="30" spans="1:26" x14ac:dyDescent="0.3">
      <c r="A30" s="80" t="s">
        <v>193</v>
      </c>
      <c r="B30" s="80" t="s">
        <v>150</v>
      </c>
      <c r="C30" s="80" t="s">
        <v>191</v>
      </c>
      <c r="D30" s="80"/>
      <c r="E30" s="80">
        <v>193259</v>
      </c>
      <c r="F30" s="80"/>
      <c r="G30" s="80"/>
      <c r="H30" s="80">
        <v>193259</v>
      </c>
      <c r="I30" s="80"/>
      <c r="J30" s="80"/>
      <c r="K30" s="80"/>
      <c r="L30" s="80"/>
      <c r="M30" s="80"/>
      <c r="N30" s="80"/>
      <c r="O30" s="80" t="s">
        <v>192</v>
      </c>
      <c r="P30" s="80" t="s">
        <v>111</v>
      </c>
      <c r="Q30" s="80"/>
      <c r="R30" s="80" t="s">
        <v>195</v>
      </c>
      <c r="S30" s="9"/>
      <c r="T30" s="9"/>
      <c r="U30" s="9"/>
      <c r="V30" s="9"/>
      <c r="W30" s="9"/>
      <c r="X30" s="9"/>
      <c r="Y30" s="9"/>
      <c r="Z30" s="9"/>
    </row>
    <row r="31" spans="1:26" x14ac:dyDescent="0.3">
      <c r="A31" s="109" t="s">
        <v>193</v>
      </c>
      <c r="B31" s="109" t="s">
        <v>151</v>
      </c>
      <c r="C31" s="109" t="s">
        <v>196</v>
      </c>
      <c r="D31" s="109"/>
      <c r="E31" s="109">
        <v>-144267</v>
      </c>
      <c r="F31" s="109"/>
      <c r="G31" s="109"/>
      <c r="H31" s="109"/>
      <c r="I31" s="109"/>
      <c r="J31" s="109"/>
      <c r="K31" s="109">
        <v>-144267</v>
      </c>
      <c r="L31" s="109"/>
      <c r="M31" s="109"/>
      <c r="N31" s="109"/>
      <c r="O31" s="109" t="s">
        <v>111</v>
      </c>
      <c r="P31" s="109" t="s">
        <v>154</v>
      </c>
      <c r="Q31" s="109"/>
      <c r="R31" s="109" t="s">
        <v>199</v>
      </c>
      <c r="S31" s="9"/>
      <c r="T31" s="9"/>
      <c r="U31" s="9"/>
      <c r="V31" s="9"/>
      <c r="W31" s="9"/>
      <c r="X31" s="9"/>
      <c r="Y31" s="9"/>
      <c r="Z31" s="9"/>
    </row>
    <row r="32" spans="1:26" x14ac:dyDescent="0.3">
      <c r="A32" s="125" t="s">
        <v>176</v>
      </c>
      <c r="B32" s="125" t="s">
        <v>151</v>
      </c>
      <c r="C32" s="125" t="s">
        <v>174</v>
      </c>
      <c r="D32" s="125"/>
      <c r="E32" s="125">
        <v>-185000</v>
      </c>
      <c r="F32" s="125"/>
      <c r="G32" s="125"/>
      <c r="H32" s="125"/>
      <c r="I32" s="125"/>
      <c r="J32" s="125"/>
      <c r="K32" s="125">
        <v>-185000</v>
      </c>
      <c r="L32" s="125"/>
      <c r="M32" s="125"/>
      <c r="N32" s="125"/>
      <c r="O32" s="125" t="s">
        <v>111</v>
      </c>
      <c r="P32" s="125" t="s">
        <v>175</v>
      </c>
      <c r="Q32" s="125"/>
      <c r="R32" s="125" t="s">
        <v>178</v>
      </c>
      <c r="S32" s="9"/>
      <c r="T32" s="9"/>
      <c r="U32" s="9"/>
      <c r="V32" s="9"/>
      <c r="W32" s="9"/>
      <c r="X32" s="9"/>
      <c r="Y32" s="9"/>
      <c r="Z32" s="9"/>
    </row>
    <row r="33" spans="1:26" x14ac:dyDescent="0.3">
      <c r="H33" s="25"/>
      <c r="S33" s="9"/>
      <c r="T33" s="9"/>
      <c r="U33" s="9"/>
      <c r="V33" s="9"/>
      <c r="W33" s="9"/>
      <c r="X33" s="9"/>
      <c r="Y33" s="9"/>
      <c r="Z33" s="9"/>
    </row>
    <row r="34" spans="1:26" x14ac:dyDescent="0.3">
      <c r="H34" s="25"/>
      <c r="S34" s="9"/>
      <c r="T34" s="9"/>
      <c r="U34" s="9"/>
      <c r="V34" s="9"/>
      <c r="W34" s="9"/>
      <c r="X34" s="9"/>
      <c r="Y34" s="9"/>
      <c r="Z34" s="9"/>
    </row>
    <row r="35" spans="1:26" x14ac:dyDescent="0.3">
      <c r="H35" s="25"/>
      <c r="S35" s="9"/>
      <c r="T35" s="9"/>
      <c r="U35" s="9"/>
      <c r="V35" s="9"/>
      <c r="W35" s="9"/>
      <c r="X35" s="9"/>
      <c r="Y35" s="9"/>
      <c r="Z35" s="9"/>
    </row>
    <row r="36" spans="1:26" x14ac:dyDescent="0.3">
      <c r="H36" s="25"/>
      <c r="W36" s="9"/>
      <c r="X36" s="9"/>
      <c r="Y36" s="9"/>
      <c r="Z36" s="9"/>
    </row>
    <row r="37" spans="1:26" x14ac:dyDescent="0.3">
      <c r="H37" s="25"/>
      <c r="W37" s="9"/>
      <c r="X37" s="9"/>
      <c r="Y37" s="9"/>
      <c r="Z37" s="9"/>
    </row>
    <row r="38" spans="1:26" x14ac:dyDescent="0.3">
      <c r="H38" s="25"/>
      <c r="W38" s="9"/>
      <c r="X38" s="9"/>
      <c r="Y38" s="9"/>
      <c r="Z38" s="9"/>
    </row>
    <row r="39" spans="1:26" x14ac:dyDescent="0.3">
      <c r="A39" s="80"/>
      <c r="B39" s="80"/>
      <c r="C39" s="80"/>
      <c r="D39" s="80"/>
      <c r="E39" s="80"/>
      <c r="F39" s="80"/>
      <c r="G39" s="80"/>
      <c r="H39" s="80"/>
      <c r="I39" s="80"/>
      <c r="J39" s="80"/>
      <c r="K39" s="80"/>
      <c r="L39" s="80"/>
      <c r="M39" s="80"/>
      <c r="N39" s="80"/>
      <c r="O39" s="80"/>
      <c r="P39" s="80"/>
      <c r="Q39" s="80"/>
      <c r="R39" s="80"/>
      <c r="W39" s="9"/>
      <c r="X39" s="9"/>
      <c r="Y39" s="9"/>
      <c r="Z39" s="9"/>
    </row>
    <row r="40" spans="1:26" x14ac:dyDescent="0.3">
      <c r="H40" s="25"/>
      <c r="W40" s="9"/>
      <c r="X40" s="9"/>
      <c r="Y40" s="9"/>
      <c r="Z40" s="9"/>
    </row>
    <row r="41" spans="1:26" x14ac:dyDescent="0.3">
      <c r="H41" s="25"/>
      <c r="W41" s="9"/>
      <c r="X41" s="9"/>
      <c r="Y41" s="9"/>
      <c r="Z41" s="9"/>
    </row>
    <row r="42" spans="1:26" x14ac:dyDescent="0.3">
      <c r="H42" s="25"/>
      <c r="W42" s="9"/>
      <c r="X42" s="9"/>
      <c r="Y42" s="9"/>
      <c r="Z42" s="9"/>
    </row>
    <row r="43" spans="1:26" x14ac:dyDescent="0.3">
      <c r="H43" s="25"/>
      <c r="W43" s="9"/>
      <c r="X43" s="9"/>
      <c r="Y43" s="9"/>
      <c r="Z43" s="9"/>
    </row>
    <row r="44" spans="1:26" x14ac:dyDescent="0.3">
      <c r="H44" s="25"/>
      <c r="W44" s="9"/>
      <c r="X44" s="9"/>
      <c r="Y44" s="9"/>
      <c r="Z44" s="9"/>
    </row>
    <row r="45" spans="1:26" x14ac:dyDescent="0.3">
      <c r="H45" s="25"/>
      <c r="W45" s="9"/>
      <c r="X45" s="9"/>
      <c r="Y45" s="9"/>
      <c r="Z45" s="9"/>
    </row>
    <row r="46" spans="1:26" x14ac:dyDescent="0.3">
      <c r="H46" s="25"/>
      <c r="W46" s="9"/>
      <c r="X46" s="9"/>
      <c r="Y46" s="9"/>
      <c r="Z46" s="9"/>
    </row>
    <row r="47" spans="1:26" x14ac:dyDescent="0.3">
      <c r="W47" s="9"/>
      <c r="X47" s="9"/>
      <c r="Y47" s="9"/>
      <c r="Z47" s="9"/>
    </row>
  </sheetData>
  <mergeCells count="5">
    <mergeCell ref="A1:F1"/>
    <mergeCell ref="A3:F3"/>
    <mergeCell ref="A9:G9"/>
    <mergeCell ref="A22:G22"/>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election activeCell="H19" sqref="H19"/>
    </sheetView>
  </sheetViews>
  <sheetFormatPr defaultRowHeight="14.4" x14ac:dyDescent="0.3"/>
  <cols>
    <col min="1" max="1" width="9.109375" style="1"/>
    <col min="2" max="2" width="20.6640625" customWidth="1"/>
    <col min="3" max="3" width="37.44140625" customWidth="1"/>
    <col min="4" max="4" width="15.6640625" customWidth="1"/>
    <col min="5" max="5" width="18.33203125" customWidth="1"/>
  </cols>
  <sheetData>
    <row r="1" spans="1:5" x14ac:dyDescent="0.35">
      <c r="A1" s="4" t="s">
        <v>13</v>
      </c>
      <c r="B1" s="164" t="s">
        <v>14</v>
      </c>
      <c r="C1" s="164"/>
      <c r="D1" s="164"/>
      <c r="E1" s="164"/>
    </row>
    <row r="2" spans="1:5" ht="81.75" customHeight="1" x14ac:dyDescent="0.35">
      <c r="A2" s="1">
        <v>1</v>
      </c>
      <c r="B2" s="163" t="s">
        <v>16</v>
      </c>
      <c r="C2" s="163"/>
      <c r="D2" s="163"/>
      <c r="E2" s="163"/>
    </row>
    <row r="3" spans="1:5" x14ac:dyDescent="0.35">
      <c r="B3" s="3"/>
      <c r="C3" s="3"/>
      <c r="D3" s="3"/>
      <c r="E3" s="3"/>
    </row>
    <row r="4" spans="1:5" ht="33" customHeight="1" x14ac:dyDescent="0.35">
      <c r="A4" s="1">
        <v>2</v>
      </c>
      <c r="B4" s="163" t="s">
        <v>17</v>
      </c>
      <c r="C4" s="163"/>
      <c r="D4" s="163"/>
      <c r="E4" s="163"/>
    </row>
    <row r="5" spans="1:5" x14ac:dyDescent="0.35">
      <c r="B5" s="3"/>
      <c r="C5" s="3"/>
      <c r="D5" s="3"/>
      <c r="E5" s="3"/>
    </row>
    <row r="6" spans="1:5" s="17" customFormat="1" ht="114" customHeight="1" x14ac:dyDescent="0.35">
      <c r="A6" s="18">
        <v>3</v>
      </c>
      <c r="B6" s="168" t="s">
        <v>77</v>
      </c>
      <c r="C6" s="168"/>
      <c r="D6" s="168"/>
      <c r="E6" s="168"/>
    </row>
    <row r="7" spans="1:5" s="17" customFormat="1" x14ac:dyDescent="0.35">
      <c r="A7" s="18"/>
      <c r="B7" s="19"/>
      <c r="C7" s="19"/>
      <c r="D7" s="19"/>
      <c r="E7" s="19"/>
    </row>
    <row r="8" spans="1:5" ht="18" customHeight="1" x14ac:dyDescent="0.35">
      <c r="A8" s="1">
        <v>4</v>
      </c>
      <c r="B8" s="167" t="s">
        <v>65</v>
      </c>
      <c r="C8" s="167"/>
      <c r="D8" s="8"/>
      <c r="E8" s="8"/>
    </row>
    <row r="9" spans="1:5" ht="18" customHeight="1" x14ac:dyDescent="0.35">
      <c r="B9" s="166" t="s">
        <v>66</v>
      </c>
      <c r="C9" s="166"/>
      <c r="D9" s="13">
        <v>340000</v>
      </c>
    </row>
    <row r="10" spans="1:5" ht="18" customHeight="1" x14ac:dyDescent="0.35">
      <c r="B10" s="163" t="s">
        <v>68</v>
      </c>
      <c r="C10" s="163"/>
      <c r="D10" s="12">
        <v>-165000</v>
      </c>
    </row>
    <row r="11" spans="1:5" ht="18" customHeight="1" x14ac:dyDescent="0.3">
      <c r="B11" s="166" t="s">
        <v>64</v>
      </c>
      <c r="C11" s="166"/>
      <c r="D11" s="14">
        <f>+D9+D10</f>
        <v>175000</v>
      </c>
    </row>
    <row r="12" spans="1:5" ht="31.5" customHeight="1" x14ac:dyDescent="0.3">
      <c r="B12" s="163" t="s">
        <v>93</v>
      </c>
      <c r="C12" s="163"/>
      <c r="D12" s="11">
        <v>43750</v>
      </c>
    </row>
    <row r="13" spans="1:5" ht="36.75" customHeight="1" x14ac:dyDescent="0.3">
      <c r="B13" s="166" t="s">
        <v>69</v>
      </c>
      <c r="C13" s="166"/>
      <c r="D13" s="15">
        <f>SUM(D11:D12)</f>
        <v>218750</v>
      </c>
    </row>
    <row r="14" spans="1:5" s="17" customFormat="1" ht="18" customHeight="1" x14ac:dyDescent="0.3">
      <c r="A14" s="18"/>
      <c r="B14" s="22"/>
      <c r="C14" s="22"/>
      <c r="D14" s="23"/>
    </row>
    <row r="15" spans="1:5" s="17" customFormat="1" ht="84.75" customHeight="1" x14ac:dyDescent="0.3">
      <c r="A15" s="1">
        <v>5</v>
      </c>
      <c r="B15" s="165" t="s">
        <v>67</v>
      </c>
      <c r="C15" s="165"/>
      <c r="D15" s="165"/>
      <c r="E15" s="165"/>
    </row>
    <row r="16" spans="1:5" x14ac:dyDescent="0.3">
      <c r="B16" s="3"/>
      <c r="C16" s="3"/>
      <c r="D16" s="3"/>
      <c r="E16" s="3"/>
    </row>
    <row r="17" spans="1:5" ht="83.25" customHeight="1" x14ac:dyDescent="0.3">
      <c r="A17" s="1">
        <v>6</v>
      </c>
      <c r="B17" s="163" t="s">
        <v>152</v>
      </c>
      <c r="C17" s="163"/>
      <c r="D17" s="163"/>
      <c r="E17" s="163"/>
    </row>
    <row r="18" spans="1:5" x14ac:dyDescent="0.3">
      <c r="B18" s="10"/>
      <c r="C18" s="10"/>
      <c r="D18" s="10"/>
      <c r="E18" s="10"/>
    </row>
    <row r="19" spans="1:5" ht="33" customHeight="1" x14ac:dyDescent="0.3">
      <c r="A19" s="1">
        <v>7</v>
      </c>
      <c r="B19" s="163" t="s">
        <v>38</v>
      </c>
      <c r="C19" s="163"/>
      <c r="D19" s="163"/>
      <c r="E19" s="163"/>
    </row>
    <row r="20" spans="1:5" ht="14.25" customHeight="1" x14ac:dyDescent="0.3">
      <c r="B20" s="7"/>
      <c r="C20" s="7"/>
      <c r="D20" s="7"/>
      <c r="E20" s="7"/>
    </row>
    <row r="21" spans="1:5" ht="47.25" customHeight="1" x14ac:dyDescent="0.3">
      <c r="A21" s="1">
        <v>8</v>
      </c>
      <c r="B21" s="163" t="s">
        <v>39</v>
      </c>
      <c r="C21" s="163"/>
      <c r="D21" s="163"/>
      <c r="E21" s="163"/>
    </row>
    <row r="22" spans="1:5" ht="15" customHeight="1" x14ac:dyDescent="0.3">
      <c r="B22" s="7"/>
      <c r="C22" s="7"/>
      <c r="D22" s="7"/>
      <c r="E22" s="7"/>
    </row>
    <row r="23" spans="1:5" ht="32.25" customHeight="1" x14ac:dyDescent="0.3">
      <c r="A23" s="1">
        <v>9</v>
      </c>
      <c r="B23" s="163" t="s">
        <v>37</v>
      </c>
      <c r="C23" s="163"/>
      <c r="D23" s="163"/>
      <c r="E23" s="163"/>
    </row>
    <row r="24" spans="1:5" ht="15" customHeight="1" x14ac:dyDescent="0.3">
      <c r="B24" s="7"/>
      <c r="C24" s="7"/>
      <c r="D24" s="7"/>
      <c r="E24" s="7"/>
    </row>
    <row r="25" spans="1:5" ht="33" customHeight="1" x14ac:dyDescent="0.3">
      <c r="A25" s="1">
        <v>10</v>
      </c>
      <c r="B25" s="163" t="s">
        <v>40</v>
      </c>
      <c r="C25" s="163"/>
      <c r="D25" s="163"/>
      <c r="E25" s="163"/>
    </row>
    <row r="26" spans="1:5" x14ac:dyDescent="0.3">
      <c r="B26" s="3"/>
      <c r="C26" s="3"/>
      <c r="D26" s="3"/>
      <c r="E26" s="3"/>
    </row>
    <row r="27" spans="1:5" ht="30" customHeight="1" x14ac:dyDescent="0.3">
      <c r="A27" s="1">
        <v>11</v>
      </c>
      <c r="B27" s="163" t="s">
        <v>41</v>
      </c>
      <c r="C27" s="163"/>
      <c r="D27" s="163"/>
      <c r="E27" s="163"/>
    </row>
    <row r="28" spans="1:5" x14ac:dyDescent="0.3">
      <c r="B28" s="3"/>
      <c r="C28" s="3"/>
      <c r="D28" s="3"/>
      <c r="E28" s="3"/>
    </row>
    <row r="29" spans="1:5" ht="31.5" customHeight="1" x14ac:dyDescent="0.3">
      <c r="A29" s="1">
        <v>12</v>
      </c>
      <c r="B29" s="163" t="s">
        <v>42</v>
      </c>
      <c r="C29" s="163"/>
      <c r="D29" s="163"/>
      <c r="E29" s="163"/>
    </row>
    <row r="30" spans="1:5" x14ac:dyDescent="0.3">
      <c r="B30" s="7"/>
      <c r="C30" s="7"/>
      <c r="D30" s="7"/>
      <c r="E30" s="7"/>
    </row>
    <row r="31" spans="1:5" ht="34.5" customHeight="1" x14ac:dyDescent="0.3">
      <c r="A31" s="1">
        <v>13</v>
      </c>
      <c r="B31" s="163" t="s">
        <v>18</v>
      </c>
      <c r="C31" s="163"/>
      <c r="D31" s="163"/>
      <c r="E31" s="163"/>
    </row>
    <row r="32" spans="1:5" ht="16.5" customHeight="1" x14ac:dyDescent="0.3">
      <c r="B32" s="3"/>
      <c r="C32" s="3"/>
      <c r="D32" s="3"/>
      <c r="E32" s="3"/>
    </row>
    <row r="33" spans="1:5" ht="64.5" customHeight="1" x14ac:dyDescent="0.3">
      <c r="A33" s="1">
        <v>14</v>
      </c>
      <c r="B33" s="163" t="s">
        <v>19</v>
      </c>
      <c r="C33" s="163"/>
      <c r="D33" s="163"/>
      <c r="E33" s="163"/>
    </row>
    <row r="34" spans="1:5" ht="14.25" customHeight="1" x14ac:dyDescent="0.3">
      <c r="B34" s="3"/>
      <c r="C34" s="3"/>
      <c r="D34" s="3"/>
      <c r="E34" s="3"/>
    </row>
    <row r="35" spans="1:5" x14ac:dyDescent="0.3">
      <c r="A35" s="1">
        <v>15</v>
      </c>
      <c r="B35" s="167" t="s">
        <v>34</v>
      </c>
      <c r="C35" s="167"/>
      <c r="D35" s="167"/>
      <c r="E35" s="167"/>
    </row>
    <row r="36" spans="1:5" x14ac:dyDescent="0.3">
      <c r="B36" s="16" t="s">
        <v>7</v>
      </c>
      <c r="C36" s="161" t="s">
        <v>20</v>
      </c>
      <c r="D36" s="161"/>
      <c r="E36" s="161"/>
    </row>
    <row r="37" spans="1:5" x14ac:dyDescent="0.3">
      <c r="B37" s="5" t="s">
        <v>21</v>
      </c>
      <c r="C37" s="162" t="s">
        <v>28</v>
      </c>
      <c r="D37" s="162"/>
      <c r="E37" s="162"/>
    </row>
    <row r="38" spans="1:5" x14ac:dyDescent="0.3">
      <c r="B38" s="16" t="s">
        <v>22</v>
      </c>
      <c r="C38" s="161" t="s">
        <v>29</v>
      </c>
      <c r="D38" s="161"/>
      <c r="E38" s="161"/>
    </row>
    <row r="39" spans="1:5" x14ac:dyDescent="0.3">
      <c r="B39" s="5" t="s">
        <v>23</v>
      </c>
      <c r="C39" s="162" t="s">
        <v>32</v>
      </c>
      <c r="D39" s="162"/>
      <c r="E39" s="162"/>
    </row>
    <row r="40" spans="1:5" x14ac:dyDescent="0.3">
      <c r="B40" s="16" t="s">
        <v>9</v>
      </c>
      <c r="C40" s="161" t="s">
        <v>30</v>
      </c>
      <c r="D40" s="161"/>
      <c r="E40" s="161"/>
    </row>
    <row r="41" spans="1:5" x14ac:dyDescent="0.3">
      <c r="B41" s="5" t="s">
        <v>8</v>
      </c>
      <c r="C41" s="162" t="s">
        <v>24</v>
      </c>
      <c r="D41" s="162"/>
      <c r="E41" s="162"/>
    </row>
    <row r="42" spans="1:5" x14ac:dyDescent="0.3">
      <c r="B42" s="16" t="s">
        <v>25</v>
      </c>
      <c r="C42" s="161" t="s">
        <v>26</v>
      </c>
      <c r="D42" s="161"/>
      <c r="E42" s="161"/>
    </row>
    <row r="43" spans="1:5" x14ac:dyDescent="0.3">
      <c r="B43" s="5" t="s">
        <v>27</v>
      </c>
      <c r="C43" s="162" t="s">
        <v>31</v>
      </c>
      <c r="D43" s="162"/>
      <c r="E43" s="162"/>
    </row>
    <row r="44" spans="1:5" s="17" customFormat="1" x14ac:dyDescent="0.3">
      <c r="A44" s="18"/>
      <c r="B44" s="20"/>
      <c r="C44" s="21"/>
      <c r="D44" s="21"/>
      <c r="E44" s="21"/>
    </row>
    <row r="45" spans="1:5" s="17" customFormat="1" x14ac:dyDescent="0.3">
      <c r="A45" s="18">
        <v>16</v>
      </c>
      <c r="B45" s="24" t="s">
        <v>78</v>
      </c>
      <c r="C45" s="21"/>
      <c r="D45" s="21"/>
      <c r="E45" s="21"/>
    </row>
    <row r="46" spans="1:5" s="17" customFormat="1" ht="30" customHeight="1" x14ac:dyDescent="0.3">
      <c r="A46" s="18"/>
      <c r="B46" s="16" t="s">
        <v>55</v>
      </c>
      <c r="C46" s="161" t="s">
        <v>80</v>
      </c>
      <c r="D46" s="161"/>
      <c r="E46" s="161"/>
    </row>
    <row r="47" spans="1:5" s="17" customFormat="1" x14ac:dyDescent="0.3">
      <c r="A47" s="18"/>
      <c r="B47" s="20" t="s">
        <v>56</v>
      </c>
      <c r="C47" s="162" t="s">
        <v>79</v>
      </c>
      <c r="D47" s="162"/>
      <c r="E47" s="162"/>
    </row>
    <row r="48" spans="1:5" s="17" customFormat="1" ht="48.75" customHeight="1" x14ac:dyDescent="0.3">
      <c r="A48" s="18"/>
      <c r="B48" s="16" t="s">
        <v>57</v>
      </c>
      <c r="C48" s="161" t="s">
        <v>82</v>
      </c>
      <c r="D48" s="161"/>
      <c r="E48" s="161"/>
    </row>
    <row r="49" spans="1:5" s="17" customFormat="1" ht="29.25" customHeight="1" x14ac:dyDescent="0.3">
      <c r="A49" s="18"/>
      <c r="B49" s="20" t="s">
        <v>58</v>
      </c>
      <c r="C49" s="162" t="s">
        <v>81</v>
      </c>
      <c r="D49" s="162"/>
      <c r="E49" s="162"/>
    </row>
    <row r="50" spans="1:5" x14ac:dyDescent="0.3">
      <c r="B50" s="5"/>
      <c r="C50" s="6"/>
      <c r="D50" s="6"/>
      <c r="E50" s="6"/>
    </row>
    <row r="51" spans="1:5" ht="94.5" customHeight="1" x14ac:dyDescent="0.3">
      <c r="A51" s="1">
        <v>17</v>
      </c>
      <c r="B51" s="170" t="s">
        <v>33</v>
      </c>
      <c r="C51" s="170"/>
      <c r="D51" s="170"/>
      <c r="E51" s="170"/>
    </row>
    <row r="53" spans="1:5" x14ac:dyDescent="0.3">
      <c r="B53" s="2"/>
    </row>
    <row r="54" spans="1:5" x14ac:dyDescent="0.3">
      <c r="A54" s="169" t="s">
        <v>35</v>
      </c>
      <c r="B54" s="169"/>
      <c r="C54" s="169"/>
      <c r="D54" s="169"/>
      <c r="E54" s="169"/>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2014-07-03T17:00:58Z</cp:lastPrinted>
  <dcterms:created xsi:type="dcterms:W3CDTF">2013-05-11T20:19:37Z</dcterms:created>
  <dcterms:modified xsi:type="dcterms:W3CDTF">2015-06-30T16:53:15Z</dcterms:modified>
</cp:coreProperties>
</file>